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735" windowWidth="14400" windowHeight="7455"/>
  </bookViews>
  <sheets>
    <sheet name="Inhoud" sheetId="5" r:id="rId1"/>
    <sheet name="Toelichting" sheetId="9" r:id="rId2"/>
    <sheet name="Totaal" sheetId="4" r:id="rId3"/>
    <sheet name="R&amp;D" sheetId="1" r:id="rId4"/>
    <sheet name="Innovatie" sheetId="2" r:id="rId5"/>
    <sheet name="R&amp;D + Innovatie" sheetId="8" r:id="rId6"/>
    <sheet name="Fiscaal" sheetId="3" r:id="rId7"/>
    <sheet name="Type" sheetId="6" r:id="rId8"/>
    <sheet name="NABS 2007" sheetId="7" r:id="rId9"/>
  </sheets>
  <externalReferences>
    <externalReference r:id="rId10"/>
    <externalReference r:id="rId11"/>
  </externalReferences>
  <definedNames>
    <definedName name="_xlnm.Print_Area" localSheetId="0">Inhoud!$A$1:$A$11</definedName>
    <definedName name="_xlnm.Print_Area" localSheetId="3">'R&amp;D'!$A$1:$V$222</definedName>
  </definedNames>
  <calcPr calcId="145621"/>
</workbook>
</file>

<file path=xl/calcChain.xml><?xml version="1.0" encoding="utf-8"?>
<calcChain xmlns="http://schemas.openxmlformats.org/spreadsheetml/2006/main">
  <c r="I19" i="4" l="1"/>
  <c r="H19" i="4"/>
  <c r="G19" i="4"/>
  <c r="E16" i="4" l="1"/>
  <c r="E15" i="4"/>
  <c r="E13" i="4"/>
  <c r="C35" i="7" l="1"/>
  <c r="D35" i="7"/>
  <c r="E35" i="7"/>
  <c r="G35" i="7"/>
  <c r="H35" i="7"/>
  <c r="I35" i="7"/>
  <c r="C22" i="7"/>
  <c r="D22" i="7"/>
  <c r="E22" i="7"/>
  <c r="G22" i="7"/>
  <c r="H22" i="7"/>
  <c r="I22" i="7"/>
  <c r="C23" i="7"/>
  <c r="D23" i="7"/>
  <c r="E23" i="7"/>
  <c r="G23" i="7"/>
  <c r="H23" i="7"/>
  <c r="I23" i="7"/>
  <c r="C24" i="7"/>
  <c r="D24" i="7"/>
  <c r="E24" i="7"/>
  <c r="G24" i="7"/>
  <c r="H24" i="7"/>
  <c r="I24" i="7"/>
  <c r="C25" i="7"/>
  <c r="D25" i="7"/>
  <c r="E25" i="7"/>
  <c r="F25" i="7"/>
  <c r="G25" i="7"/>
  <c r="H25" i="7"/>
  <c r="I25" i="7"/>
  <c r="C26" i="7"/>
  <c r="D26" i="7"/>
  <c r="E26" i="7"/>
  <c r="G26" i="7"/>
  <c r="H26" i="7"/>
  <c r="I26" i="7"/>
  <c r="C27" i="7"/>
  <c r="D27" i="7"/>
  <c r="E27" i="7"/>
  <c r="G27" i="7"/>
  <c r="H27" i="7"/>
  <c r="I27" i="7"/>
  <c r="C28" i="7"/>
  <c r="D28" i="7"/>
  <c r="E28" i="7"/>
  <c r="G28" i="7"/>
  <c r="H28" i="7"/>
  <c r="I28" i="7"/>
  <c r="C29" i="7"/>
  <c r="D29" i="7"/>
  <c r="E29" i="7"/>
  <c r="F29" i="7"/>
  <c r="G29" i="7"/>
  <c r="H29" i="7"/>
  <c r="I29" i="7"/>
  <c r="C30" i="7"/>
  <c r="D30" i="7"/>
  <c r="E30" i="7"/>
  <c r="G30" i="7"/>
  <c r="H30" i="7"/>
  <c r="I30" i="7"/>
  <c r="C31" i="7"/>
  <c r="D31" i="7"/>
  <c r="E31" i="7"/>
  <c r="G31" i="7"/>
  <c r="H31" i="7"/>
  <c r="I31" i="7"/>
  <c r="C32" i="7"/>
  <c r="D32" i="7"/>
  <c r="E32" i="7"/>
  <c r="G32" i="7"/>
  <c r="H32" i="7"/>
  <c r="I32" i="7"/>
  <c r="C33" i="7"/>
  <c r="D33" i="7"/>
  <c r="E33" i="7"/>
  <c r="F33" i="7"/>
  <c r="G33" i="7"/>
  <c r="H33" i="7"/>
  <c r="I33" i="7"/>
  <c r="C34" i="7"/>
  <c r="D34" i="7"/>
  <c r="E34" i="7"/>
  <c r="F34" i="7"/>
  <c r="G34" i="7"/>
  <c r="H34" i="7"/>
  <c r="I34" i="7"/>
  <c r="D21" i="7"/>
  <c r="E21" i="7"/>
  <c r="G21" i="7"/>
  <c r="H21" i="7"/>
  <c r="I21" i="7"/>
  <c r="C21" i="7"/>
  <c r="C18" i="7"/>
  <c r="D18" i="7"/>
  <c r="E18" i="7"/>
  <c r="F18" i="7"/>
  <c r="F24" i="7" s="1"/>
  <c r="G18" i="7"/>
  <c r="H18" i="7"/>
  <c r="I18" i="7"/>
  <c r="F30" i="7" l="1"/>
  <c r="F26" i="7"/>
  <c r="F22" i="7"/>
  <c r="F31" i="7"/>
  <c r="F27" i="7"/>
  <c r="F23" i="7"/>
  <c r="F21" i="7"/>
  <c r="F32" i="7"/>
  <c r="F28" i="7"/>
  <c r="I65" i="6"/>
  <c r="H65" i="6"/>
  <c r="G65" i="6"/>
  <c r="F65" i="6"/>
  <c r="E65" i="6"/>
  <c r="D65" i="6"/>
  <c r="C65" i="6"/>
  <c r="E235" i="6"/>
  <c r="F235" i="6"/>
  <c r="G235" i="6"/>
  <c r="H235" i="6"/>
  <c r="I235" i="6"/>
  <c r="C235" i="6"/>
  <c r="D235" i="6"/>
  <c r="D7" i="4"/>
  <c r="E7" i="4"/>
  <c r="F7" i="4"/>
  <c r="G7" i="4"/>
  <c r="H7" i="4"/>
  <c r="I7" i="4"/>
  <c r="C7" i="4"/>
  <c r="E5" i="4"/>
  <c r="F5" i="4"/>
  <c r="G5" i="4"/>
  <c r="H5" i="4"/>
  <c r="I5" i="4"/>
  <c r="D5" i="4"/>
  <c r="C5" i="4"/>
  <c r="D246" i="6"/>
  <c r="E246" i="6"/>
  <c r="F246" i="6"/>
  <c r="G246" i="6"/>
  <c r="H246" i="6"/>
  <c r="I246" i="6"/>
  <c r="C246" i="6"/>
  <c r="D233" i="6"/>
  <c r="E233" i="6"/>
  <c r="F233" i="6"/>
  <c r="G233" i="6"/>
  <c r="H233" i="6"/>
  <c r="I233" i="6"/>
  <c r="C233" i="6"/>
  <c r="D70" i="6"/>
  <c r="E70" i="6"/>
  <c r="F70" i="6"/>
  <c r="G70" i="6"/>
  <c r="H70" i="6"/>
  <c r="I70" i="6"/>
  <c r="I38" i="6"/>
  <c r="H38" i="6"/>
  <c r="G38" i="6"/>
  <c r="F38" i="6"/>
  <c r="E38" i="6"/>
  <c r="D38" i="6"/>
  <c r="C38" i="6"/>
  <c r="I215" i="6"/>
  <c r="G215" i="6"/>
  <c r="F215" i="6"/>
  <c r="E215" i="6"/>
  <c r="H215" i="6"/>
  <c r="D215" i="6"/>
  <c r="C70" i="6"/>
  <c r="C215" i="6"/>
  <c r="D69" i="1"/>
  <c r="D214" i="1" s="1"/>
  <c r="E69" i="1"/>
  <c r="F69" i="1"/>
  <c r="G69" i="1"/>
  <c r="G206" i="1" s="1"/>
  <c r="G4" i="4" s="1"/>
  <c r="H69" i="1"/>
  <c r="H206" i="1" s="1"/>
  <c r="H4" i="4" s="1"/>
  <c r="I69" i="1"/>
  <c r="C69" i="1"/>
  <c r="C214" i="1" s="1"/>
  <c r="D243" i="6"/>
  <c r="E243" i="6"/>
  <c r="F243" i="6"/>
  <c r="G243" i="6"/>
  <c r="H243" i="6"/>
  <c r="I243" i="6"/>
  <c r="C243" i="6"/>
  <c r="D230" i="6"/>
  <c r="E230" i="6"/>
  <c r="F230" i="6"/>
  <c r="G230" i="6"/>
  <c r="H230" i="6"/>
  <c r="I230" i="6"/>
  <c r="C230" i="6"/>
  <c r="D106" i="6"/>
  <c r="E106" i="6"/>
  <c r="F106" i="6"/>
  <c r="G106" i="6"/>
  <c r="H106" i="6"/>
  <c r="I106" i="6"/>
  <c r="C106" i="6"/>
  <c r="I105" i="1"/>
  <c r="H105" i="1"/>
  <c r="G105" i="1"/>
  <c r="F105" i="1"/>
  <c r="E105" i="1"/>
  <c r="D105" i="1"/>
  <c r="C105" i="1"/>
  <c r="D251" i="6"/>
  <c r="E251" i="6"/>
  <c r="F251" i="6"/>
  <c r="G251" i="6"/>
  <c r="H251" i="6"/>
  <c r="I251" i="6"/>
  <c r="C251" i="6"/>
  <c r="D249" i="6"/>
  <c r="E249" i="6"/>
  <c r="F249" i="6"/>
  <c r="G249" i="6"/>
  <c r="H249" i="6"/>
  <c r="I249" i="6"/>
  <c r="C249" i="6"/>
  <c r="D248" i="6"/>
  <c r="E248" i="6"/>
  <c r="F248" i="6"/>
  <c r="G248" i="6"/>
  <c r="H248" i="6"/>
  <c r="I248" i="6"/>
  <c r="C248" i="6"/>
  <c r="D247" i="6"/>
  <c r="E247" i="6"/>
  <c r="F247" i="6"/>
  <c r="G247" i="6"/>
  <c r="H247" i="6"/>
  <c r="I247" i="6"/>
  <c r="C247" i="6"/>
  <c r="D244" i="6"/>
  <c r="E244" i="6"/>
  <c r="F244" i="6"/>
  <c r="G244" i="6"/>
  <c r="H244" i="6"/>
  <c r="I244" i="6"/>
  <c r="C244" i="6"/>
  <c r="D234" i="6"/>
  <c r="D260" i="6"/>
  <c r="E234" i="6"/>
  <c r="E260" i="6"/>
  <c r="F234" i="6"/>
  <c r="F260" i="6"/>
  <c r="G234" i="6"/>
  <c r="G260" i="6"/>
  <c r="H234" i="6"/>
  <c r="H260" i="6"/>
  <c r="I234" i="6"/>
  <c r="I260" i="6"/>
  <c r="D261" i="6"/>
  <c r="E261" i="6"/>
  <c r="F261" i="6"/>
  <c r="G261" i="6"/>
  <c r="H261" i="6"/>
  <c r="I261" i="6"/>
  <c r="D236" i="6"/>
  <c r="D262" i="6"/>
  <c r="E236" i="6"/>
  <c r="E262" i="6"/>
  <c r="F236" i="6"/>
  <c r="F262" i="6"/>
  <c r="G236" i="6"/>
  <c r="G262" i="6"/>
  <c r="H236" i="6"/>
  <c r="H262" i="6"/>
  <c r="I236" i="6"/>
  <c r="I262" i="6"/>
  <c r="D238" i="6"/>
  <c r="D264" i="6"/>
  <c r="E238" i="6"/>
  <c r="E264" i="6"/>
  <c r="F238" i="6"/>
  <c r="F264" i="6"/>
  <c r="G238" i="6"/>
  <c r="G264" i="6"/>
  <c r="H238" i="6"/>
  <c r="H264" i="6"/>
  <c r="I238" i="6"/>
  <c r="I264" i="6"/>
  <c r="C238" i="6"/>
  <c r="C264" i="6"/>
  <c r="C236" i="6"/>
  <c r="C262" i="6"/>
  <c r="C261" i="6"/>
  <c r="C234" i="6"/>
  <c r="C260" i="6"/>
  <c r="D232" i="6"/>
  <c r="D258" i="6"/>
  <c r="E232" i="6"/>
  <c r="E258" i="6"/>
  <c r="F232" i="6"/>
  <c r="F258" i="6"/>
  <c r="G232" i="6"/>
  <c r="G258" i="6"/>
  <c r="H232" i="6"/>
  <c r="H258" i="6"/>
  <c r="I232" i="6"/>
  <c r="I258" i="6"/>
  <c r="C232" i="6"/>
  <c r="C258" i="6"/>
  <c r="D231" i="6"/>
  <c r="D257" i="6"/>
  <c r="E231" i="6"/>
  <c r="E257" i="6"/>
  <c r="F231" i="6"/>
  <c r="F257" i="6"/>
  <c r="G231" i="6"/>
  <c r="G257" i="6"/>
  <c r="H231" i="6"/>
  <c r="H257" i="6"/>
  <c r="I231" i="6"/>
  <c r="I257" i="6"/>
  <c r="C231" i="6"/>
  <c r="C257" i="6"/>
  <c r="D228" i="6"/>
  <c r="D241" i="6"/>
  <c r="D254" i="6"/>
  <c r="D267" i="6"/>
  <c r="E228" i="6"/>
  <c r="E241" i="6"/>
  <c r="E254" i="6"/>
  <c r="E267" i="6"/>
  <c r="F228" i="6"/>
  <c r="F241" i="6"/>
  <c r="F254" i="6"/>
  <c r="F267" i="6"/>
  <c r="G228" i="6"/>
  <c r="G241" i="6"/>
  <c r="G254" i="6"/>
  <c r="G267" i="6"/>
  <c r="H228" i="6"/>
  <c r="H241" i="6"/>
  <c r="H254" i="6"/>
  <c r="H267" i="6"/>
  <c r="I228" i="6"/>
  <c r="I241" i="6"/>
  <c r="I254" i="6"/>
  <c r="I267" i="6"/>
  <c r="C228" i="6"/>
  <c r="C241" i="6"/>
  <c r="C254" i="6"/>
  <c r="C267" i="6"/>
  <c r="D229" i="6"/>
  <c r="D255" i="6"/>
  <c r="E229" i="6"/>
  <c r="E255" i="6"/>
  <c r="F229" i="6"/>
  <c r="F255" i="6"/>
  <c r="G229" i="6"/>
  <c r="G255" i="6"/>
  <c r="H229" i="6"/>
  <c r="H255" i="6"/>
  <c r="I229" i="6"/>
  <c r="I255" i="6"/>
  <c r="C229" i="6"/>
  <c r="C255" i="6"/>
  <c r="I205" i="6"/>
  <c r="I220" i="6"/>
  <c r="H205" i="6"/>
  <c r="H220" i="6"/>
  <c r="G205" i="6"/>
  <c r="G220" i="6"/>
  <c r="F205" i="6"/>
  <c r="F220" i="6"/>
  <c r="E205" i="6"/>
  <c r="E220" i="6"/>
  <c r="D205" i="6"/>
  <c r="D220" i="6"/>
  <c r="C205" i="6"/>
  <c r="C220" i="6"/>
  <c r="I182" i="6"/>
  <c r="I219" i="6"/>
  <c r="H182" i="6"/>
  <c r="H219" i="6"/>
  <c r="G182" i="6"/>
  <c r="G219" i="6"/>
  <c r="F182" i="6"/>
  <c r="F219" i="6"/>
  <c r="E182" i="6"/>
  <c r="E219" i="6"/>
  <c r="D182" i="6"/>
  <c r="D219" i="6"/>
  <c r="C182" i="6"/>
  <c r="C219" i="6"/>
  <c r="I178" i="6"/>
  <c r="I218" i="6"/>
  <c r="H178" i="6"/>
  <c r="H218" i="6"/>
  <c r="G178" i="6"/>
  <c r="G218" i="6"/>
  <c r="F178" i="6"/>
  <c r="F218" i="6"/>
  <c r="E178" i="6"/>
  <c r="E218" i="6"/>
  <c r="D178" i="6"/>
  <c r="D218" i="6"/>
  <c r="C178" i="6"/>
  <c r="C218" i="6"/>
  <c r="I217" i="6"/>
  <c r="H217" i="6"/>
  <c r="G217" i="6"/>
  <c r="F217" i="6"/>
  <c r="E217" i="6"/>
  <c r="D217" i="6"/>
  <c r="C217" i="6"/>
  <c r="I78" i="6"/>
  <c r="I216" i="6"/>
  <c r="H78" i="6"/>
  <c r="H216" i="6"/>
  <c r="G78" i="6"/>
  <c r="G216" i="6"/>
  <c r="F78" i="6"/>
  <c r="F216" i="6"/>
  <c r="E78" i="6"/>
  <c r="E216" i="6"/>
  <c r="D78" i="6"/>
  <c r="D216" i="6"/>
  <c r="C78" i="6"/>
  <c r="C216" i="6"/>
  <c r="I34" i="6"/>
  <c r="I214" i="6"/>
  <c r="H34" i="6"/>
  <c r="H214" i="6"/>
  <c r="G34" i="6"/>
  <c r="G214" i="6"/>
  <c r="F34" i="6"/>
  <c r="F214" i="6"/>
  <c r="E34" i="6"/>
  <c r="E214" i="6"/>
  <c r="D34" i="6"/>
  <c r="D214" i="6"/>
  <c r="C34" i="6"/>
  <c r="C214" i="6"/>
  <c r="I25" i="6"/>
  <c r="I213" i="6"/>
  <c r="H25" i="6"/>
  <c r="H213" i="6"/>
  <c r="G25" i="6"/>
  <c r="G213" i="6"/>
  <c r="F25" i="6"/>
  <c r="F213" i="6"/>
  <c r="E25" i="6"/>
  <c r="E213" i="6"/>
  <c r="D25" i="6"/>
  <c r="D213" i="6"/>
  <c r="C25" i="6"/>
  <c r="C213" i="6"/>
  <c r="I212" i="6"/>
  <c r="H212" i="6"/>
  <c r="G212" i="6"/>
  <c r="F212" i="6"/>
  <c r="E212" i="6"/>
  <c r="D212" i="6"/>
  <c r="C212" i="6"/>
  <c r="I8" i="6"/>
  <c r="H8" i="6"/>
  <c r="G8" i="6"/>
  <c r="G207" i="6"/>
  <c r="F8" i="6"/>
  <c r="E8" i="6"/>
  <c r="D8" i="6"/>
  <c r="C8" i="6"/>
  <c r="C207" i="6"/>
  <c r="I8" i="3"/>
  <c r="F207" i="6"/>
  <c r="D207" i="6"/>
  <c r="H207" i="6"/>
  <c r="E211" i="6"/>
  <c r="E207" i="6"/>
  <c r="I211" i="6"/>
  <c r="I221" i="6"/>
  <c r="I207" i="6"/>
  <c r="C237" i="6"/>
  <c r="C263" i="6"/>
  <c r="I237" i="6"/>
  <c r="I263" i="6"/>
  <c r="E237" i="6"/>
  <c r="E263" i="6"/>
  <c r="H237" i="6"/>
  <c r="H263" i="6"/>
  <c r="D237" i="6"/>
  <c r="D263" i="6"/>
  <c r="G237" i="6"/>
  <c r="G263" i="6"/>
  <c r="F237" i="6"/>
  <c r="F263" i="6"/>
  <c r="L215" i="6"/>
  <c r="E221" i="6"/>
  <c r="L216" i="6"/>
  <c r="K216" i="6"/>
  <c r="L220" i="6"/>
  <c r="K220" i="6"/>
  <c r="K214" i="6"/>
  <c r="L214" i="6"/>
  <c r="L219" i="6"/>
  <c r="K219" i="6"/>
  <c r="L213" i="6"/>
  <c r="K213" i="6"/>
  <c r="K218" i="6"/>
  <c r="L218" i="6"/>
  <c r="L212" i="6"/>
  <c r="K212" i="6"/>
  <c r="L217" i="6"/>
  <c r="K217" i="6"/>
  <c r="F211" i="6"/>
  <c r="F221" i="6"/>
  <c r="K215" i="6"/>
  <c r="C211" i="6"/>
  <c r="C221" i="6"/>
  <c r="G211" i="6"/>
  <c r="G221" i="6"/>
  <c r="D211" i="6"/>
  <c r="D221" i="6"/>
  <c r="H211" i="6"/>
  <c r="H221" i="6"/>
  <c r="K211" i="6"/>
  <c r="L211" i="6"/>
  <c r="L221" i="6"/>
  <c r="K221" i="6"/>
  <c r="C46" i="8"/>
  <c r="D46" i="8"/>
  <c r="E46" i="8"/>
  <c r="F46" i="8"/>
  <c r="G46" i="8"/>
  <c r="H46" i="8"/>
  <c r="B46" i="8"/>
  <c r="C32" i="8"/>
  <c r="D32" i="8"/>
  <c r="E32" i="8"/>
  <c r="F32" i="8"/>
  <c r="G32" i="8"/>
  <c r="H32" i="8"/>
  <c r="B32" i="8"/>
  <c r="C18" i="8"/>
  <c r="D18" i="8"/>
  <c r="E18" i="8"/>
  <c r="F18" i="8"/>
  <c r="G18" i="8"/>
  <c r="H18" i="8"/>
  <c r="B18" i="8"/>
  <c r="E214" i="1"/>
  <c r="D9" i="8" s="1"/>
  <c r="F214" i="1"/>
  <c r="E9" i="8" s="1"/>
  <c r="I214" i="1"/>
  <c r="H9" i="8"/>
  <c r="H15" i="8" s="1"/>
  <c r="D204" i="1"/>
  <c r="D219" i="1"/>
  <c r="C14" i="8"/>
  <c r="E204" i="1"/>
  <c r="E219" i="1"/>
  <c r="D14" i="8"/>
  <c r="F204" i="1"/>
  <c r="F219" i="1"/>
  <c r="E14" i="8"/>
  <c r="G204" i="1"/>
  <c r="G219" i="1"/>
  <c r="F14" i="8"/>
  <c r="H204" i="1"/>
  <c r="H219" i="1"/>
  <c r="G14" i="8"/>
  <c r="I204" i="1"/>
  <c r="I219" i="1"/>
  <c r="H14" i="8"/>
  <c r="C204" i="1"/>
  <c r="C219" i="1"/>
  <c r="B14" i="8"/>
  <c r="D181" i="1"/>
  <c r="D218" i="1"/>
  <c r="C13" i="8"/>
  <c r="E181" i="1"/>
  <c r="E218" i="1"/>
  <c r="D13" i="8"/>
  <c r="F181" i="1"/>
  <c r="F218" i="1"/>
  <c r="E13" i="8"/>
  <c r="G181" i="1"/>
  <c r="G218" i="1"/>
  <c r="F13" i="8"/>
  <c r="H181" i="1"/>
  <c r="H218" i="1"/>
  <c r="G13" i="8"/>
  <c r="I181" i="1"/>
  <c r="I218" i="1"/>
  <c r="H13" i="8"/>
  <c r="C181" i="1"/>
  <c r="C218" i="1"/>
  <c r="B13" i="8"/>
  <c r="D177" i="1"/>
  <c r="D217" i="1"/>
  <c r="C12" i="8"/>
  <c r="E177" i="1"/>
  <c r="E217" i="1"/>
  <c r="D12" i="8"/>
  <c r="F177" i="1"/>
  <c r="F217" i="1"/>
  <c r="E12" i="8"/>
  <c r="G177" i="1"/>
  <c r="G217" i="1"/>
  <c r="F12" i="8"/>
  <c r="H177" i="1"/>
  <c r="H217" i="1"/>
  <c r="G12" i="8"/>
  <c r="I177" i="1"/>
  <c r="I217" i="1"/>
  <c r="H12" i="8"/>
  <c r="C177" i="1"/>
  <c r="C217" i="1"/>
  <c r="B12" i="8"/>
  <c r="D216" i="1"/>
  <c r="C11" i="8"/>
  <c r="E216" i="1"/>
  <c r="D11" i="8"/>
  <c r="F216" i="1"/>
  <c r="E11" i="8"/>
  <c r="G216" i="1"/>
  <c r="F11" i="8"/>
  <c r="H216" i="1"/>
  <c r="G11" i="8"/>
  <c r="I216" i="1"/>
  <c r="H11" i="8"/>
  <c r="C216" i="1"/>
  <c r="B11" i="8"/>
  <c r="D77" i="1"/>
  <c r="D215" i="1"/>
  <c r="C10" i="8"/>
  <c r="E77" i="1"/>
  <c r="E215" i="1"/>
  <c r="D10" i="8"/>
  <c r="F77" i="1"/>
  <c r="F215" i="1"/>
  <c r="E10" i="8"/>
  <c r="G77" i="1"/>
  <c r="G215" i="1"/>
  <c r="F10" i="8"/>
  <c r="H77" i="1"/>
  <c r="H215" i="1"/>
  <c r="G10" i="8"/>
  <c r="I77" i="1"/>
  <c r="I215" i="1"/>
  <c r="H10" i="8"/>
  <c r="C77" i="1"/>
  <c r="C215" i="1"/>
  <c r="B10" i="8"/>
  <c r="D34" i="1"/>
  <c r="D213" i="1"/>
  <c r="C8" i="8"/>
  <c r="E34" i="1"/>
  <c r="E213" i="1"/>
  <c r="D8" i="8"/>
  <c r="F34" i="1"/>
  <c r="F213" i="1"/>
  <c r="E8" i="8"/>
  <c r="G34" i="1"/>
  <c r="G213" i="1"/>
  <c r="F8" i="8"/>
  <c r="H34" i="1"/>
  <c r="H213" i="1"/>
  <c r="G8" i="8"/>
  <c r="I34" i="1"/>
  <c r="I213" i="1"/>
  <c r="H8" i="8"/>
  <c r="C34" i="1"/>
  <c r="C213" i="1"/>
  <c r="B8" i="8"/>
  <c r="D25" i="1"/>
  <c r="E25" i="1"/>
  <c r="E212" i="1"/>
  <c r="D7" i="8"/>
  <c r="F25" i="1"/>
  <c r="F212" i="1"/>
  <c r="E7" i="8"/>
  <c r="G25" i="1"/>
  <c r="G212" i="1"/>
  <c r="F7" i="8"/>
  <c r="H25" i="1"/>
  <c r="H212" i="1"/>
  <c r="G7" i="8"/>
  <c r="I25" i="1"/>
  <c r="I212" i="1"/>
  <c r="H7" i="8"/>
  <c r="C25" i="1"/>
  <c r="C212" i="1"/>
  <c r="B7" i="8"/>
  <c r="D8" i="1"/>
  <c r="D210" i="1"/>
  <c r="C5" i="8"/>
  <c r="E8" i="1"/>
  <c r="E210" i="1"/>
  <c r="F8" i="1"/>
  <c r="F210" i="1"/>
  <c r="G8" i="1"/>
  <c r="H8" i="1"/>
  <c r="I8" i="1"/>
  <c r="C8" i="1"/>
  <c r="C210" i="1"/>
  <c r="D17" i="1"/>
  <c r="D211" i="1"/>
  <c r="C6" i="8"/>
  <c r="E17" i="1"/>
  <c r="E211" i="1"/>
  <c r="D6" i="8"/>
  <c r="F17" i="1"/>
  <c r="F211" i="1"/>
  <c r="E6" i="8"/>
  <c r="G17" i="1"/>
  <c r="G211" i="1"/>
  <c r="F6" i="8"/>
  <c r="H17" i="1"/>
  <c r="H211" i="1"/>
  <c r="G6" i="8"/>
  <c r="I17" i="1"/>
  <c r="I211" i="1"/>
  <c r="H6" i="8"/>
  <c r="C17" i="1"/>
  <c r="C211" i="1"/>
  <c r="B6" i="8"/>
  <c r="I206" i="1"/>
  <c r="I4" i="4" s="1"/>
  <c r="D206" i="1"/>
  <c r="D4" i="4" s="1"/>
  <c r="G210" i="1"/>
  <c r="F5" i="8"/>
  <c r="H210" i="1"/>
  <c r="G5" i="8"/>
  <c r="D5" i="8"/>
  <c r="B5" i="8"/>
  <c r="E5" i="8"/>
  <c r="F206" i="1"/>
  <c r="F4" i="4" s="1"/>
  <c r="D212" i="1"/>
  <c r="C7" i="8"/>
  <c r="E206" i="1"/>
  <c r="E4" i="4"/>
  <c r="C206" i="1"/>
  <c r="C4" i="4" s="1"/>
  <c r="I210" i="1"/>
  <c r="J62" i="2"/>
  <c r="J59" i="2"/>
  <c r="H5" i="8"/>
  <c r="I220" i="1"/>
  <c r="D42" i="2"/>
  <c r="E42" i="2"/>
  <c r="F42" i="2"/>
  <c r="G42" i="2"/>
  <c r="H42" i="2"/>
  <c r="I42" i="2"/>
  <c r="C42" i="2"/>
  <c r="D40" i="2"/>
  <c r="E40" i="2"/>
  <c r="F40" i="2"/>
  <c r="F48" i="2" s="1"/>
  <c r="F54" i="2" s="1"/>
  <c r="G40" i="2"/>
  <c r="H40" i="2"/>
  <c r="I40" i="2"/>
  <c r="I48" i="2" s="1"/>
  <c r="I54" i="2" s="1"/>
  <c r="C40" i="2"/>
  <c r="D39" i="2"/>
  <c r="D48" i="2" s="1"/>
  <c r="D54" i="2" s="1"/>
  <c r="E39" i="2"/>
  <c r="E48" i="2"/>
  <c r="E54" i="2" s="1"/>
  <c r="F39" i="2"/>
  <c r="G39" i="2"/>
  <c r="G48" i="2"/>
  <c r="H39" i="2"/>
  <c r="H48" i="2" s="1"/>
  <c r="H54" i="2" s="1"/>
  <c r="I39" i="2"/>
  <c r="C39" i="2"/>
  <c r="C48" i="2" s="1"/>
  <c r="C54" i="2" s="1"/>
  <c r="B22" i="2"/>
  <c r="B21" i="2"/>
  <c r="B20" i="2"/>
  <c r="B19" i="2"/>
  <c r="B18" i="2"/>
  <c r="I23" i="2"/>
  <c r="H39" i="8"/>
  <c r="H23" i="2"/>
  <c r="G39" i="8"/>
  <c r="D23" i="2"/>
  <c r="C39" i="8"/>
  <c r="G23" i="2"/>
  <c r="F39" i="8"/>
  <c r="C23" i="2"/>
  <c r="B39" i="8"/>
  <c r="F23" i="2"/>
  <c r="E39" i="8"/>
  <c r="E23" i="2"/>
  <c r="D39" i="8"/>
  <c r="V174" i="1"/>
  <c r="U174" i="1"/>
  <c r="T174" i="1"/>
  <c r="S174" i="1"/>
  <c r="R174" i="1"/>
  <c r="Q174" i="1"/>
  <c r="P174" i="1"/>
  <c r="P166" i="1"/>
  <c r="C11" i="2"/>
  <c r="B37" i="8"/>
  <c r="D11" i="2"/>
  <c r="C37" i="8"/>
  <c r="E11" i="2"/>
  <c r="D37" i="8"/>
  <c r="F11" i="2"/>
  <c r="E37" i="8"/>
  <c r="G11" i="2"/>
  <c r="F37" i="8"/>
  <c r="H11" i="2"/>
  <c r="G37" i="8"/>
  <c r="I11" i="2"/>
  <c r="H37" i="8"/>
  <c r="Q168" i="1"/>
  <c r="R168" i="1"/>
  <c r="S168" i="1"/>
  <c r="T168" i="1"/>
  <c r="U168" i="1"/>
  <c r="V168" i="1"/>
  <c r="Q169" i="1"/>
  <c r="R169" i="1"/>
  <c r="S169" i="1"/>
  <c r="T169" i="1"/>
  <c r="V169" i="1"/>
  <c r="P169" i="1"/>
  <c r="P168" i="1"/>
  <c r="U169" i="1"/>
  <c r="Q154" i="1"/>
  <c r="R154" i="1"/>
  <c r="S154" i="1"/>
  <c r="T154" i="1"/>
  <c r="U154" i="1"/>
  <c r="V154" i="1"/>
  <c r="P154" i="1"/>
  <c r="Q141" i="1"/>
  <c r="R141" i="1"/>
  <c r="S141" i="1"/>
  <c r="U141" i="1"/>
  <c r="V141" i="1"/>
  <c r="P141" i="1"/>
  <c r="T141" i="1"/>
  <c r="Q124" i="1"/>
  <c r="R124" i="1"/>
  <c r="S124" i="1"/>
  <c r="T124" i="1"/>
  <c r="U124" i="1"/>
  <c r="V124" i="1"/>
  <c r="P124" i="1"/>
  <c r="R76" i="1"/>
  <c r="S76" i="1"/>
  <c r="T76" i="1"/>
  <c r="U76" i="1"/>
  <c r="V76" i="1"/>
  <c r="Q76" i="1"/>
  <c r="P76" i="1"/>
  <c r="P32" i="1"/>
  <c r="Q32" i="1"/>
  <c r="R32" i="1"/>
  <c r="S32" i="1"/>
  <c r="T32" i="1"/>
  <c r="U32" i="1"/>
  <c r="V32" i="1"/>
  <c r="P33" i="1"/>
  <c r="Q33" i="1"/>
  <c r="R33" i="1"/>
  <c r="S33" i="1"/>
  <c r="T33" i="1"/>
  <c r="U33" i="1"/>
  <c r="V33" i="1"/>
  <c r="R31" i="1"/>
  <c r="S31" i="1"/>
  <c r="T31" i="1"/>
  <c r="U31" i="1"/>
  <c r="V31" i="1"/>
  <c r="Q31" i="1"/>
  <c r="P31" i="1"/>
  <c r="S34" i="1"/>
  <c r="R34" i="1"/>
  <c r="V34" i="1"/>
  <c r="U34" i="1"/>
  <c r="Q34" i="1"/>
  <c r="T34" i="1"/>
  <c r="P34" i="1"/>
  <c r="V172" i="1"/>
  <c r="U172" i="1"/>
  <c r="T172" i="1"/>
  <c r="S172" i="1"/>
  <c r="R172" i="1"/>
  <c r="Q172" i="1"/>
  <c r="P172" i="1"/>
  <c r="V171" i="1"/>
  <c r="U171" i="1"/>
  <c r="T171" i="1"/>
  <c r="S171" i="1"/>
  <c r="R171" i="1"/>
  <c r="Q171" i="1"/>
  <c r="P171" i="1"/>
  <c r="P161" i="1"/>
  <c r="Q161" i="1"/>
  <c r="R161" i="1"/>
  <c r="S161" i="1"/>
  <c r="T161" i="1"/>
  <c r="U161" i="1"/>
  <c r="V161" i="1"/>
  <c r="P162" i="1"/>
  <c r="Q162" i="1"/>
  <c r="R162" i="1"/>
  <c r="S162" i="1"/>
  <c r="T162" i="1"/>
  <c r="U162" i="1"/>
  <c r="V162" i="1"/>
  <c r="P163" i="1"/>
  <c r="Q163" i="1"/>
  <c r="R163" i="1"/>
  <c r="S163" i="1"/>
  <c r="T163" i="1"/>
  <c r="U163" i="1"/>
  <c r="V163" i="1"/>
  <c r="P164" i="1"/>
  <c r="Q164" i="1"/>
  <c r="R164" i="1"/>
  <c r="S164" i="1"/>
  <c r="T164" i="1"/>
  <c r="U164" i="1"/>
  <c r="V164" i="1"/>
  <c r="P165" i="1"/>
  <c r="V159" i="1"/>
  <c r="U159" i="1"/>
  <c r="T159" i="1"/>
  <c r="S159" i="1"/>
  <c r="R159" i="1"/>
  <c r="Q159" i="1"/>
  <c r="P159" i="1"/>
  <c r="V158" i="1"/>
  <c r="U158" i="1"/>
  <c r="T158" i="1"/>
  <c r="S158" i="1"/>
  <c r="R158" i="1"/>
  <c r="Q158" i="1"/>
  <c r="P158" i="1"/>
  <c r="V157" i="1"/>
  <c r="U157" i="1"/>
  <c r="T157" i="1"/>
  <c r="S157" i="1"/>
  <c r="R157" i="1"/>
  <c r="Q157" i="1"/>
  <c r="P157" i="1"/>
  <c r="V156" i="1"/>
  <c r="U156" i="1"/>
  <c r="T156" i="1"/>
  <c r="S156" i="1"/>
  <c r="R156" i="1"/>
  <c r="Q156" i="1"/>
  <c r="P156" i="1"/>
  <c r="V155" i="1"/>
  <c r="U155" i="1"/>
  <c r="T155" i="1"/>
  <c r="S155" i="1"/>
  <c r="R155" i="1"/>
  <c r="Q155" i="1"/>
  <c r="P155" i="1"/>
  <c r="V153" i="1"/>
  <c r="U153" i="1"/>
  <c r="T153" i="1"/>
  <c r="S153" i="1"/>
  <c r="R153" i="1"/>
  <c r="Q153" i="1"/>
  <c r="P153" i="1"/>
  <c r="V152" i="1"/>
  <c r="U152" i="1"/>
  <c r="T152" i="1"/>
  <c r="S152" i="1"/>
  <c r="R152" i="1"/>
  <c r="Q152" i="1"/>
  <c r="P152" i="1"/>
  <c r="V151" i="1"/>
  <c r="U151" i="1"/>
  <c r="T151" i="1"/>
  <c r="S151" i="1"/>
  <c r="R151" i="1"/>
  <c r="Q151" i="1"/>
  <c r="P151" i="1"/>
  <c r="V150" i="1"/>
  <c r="U150" i="1"/>
  <c r="T150" i="1"/>
  <c r="S150" i="1"/>
  <c r="R150" i="1"/>
  <c r="Q150" i="1"/>
  <c r="P150" i="1"/>
  <c r="V149" i="1"/>
  <c r="U149" i="1"/>
  <c r="T149" i="1"/>
  <c r="S149" i="1"/>
  <c r="R149" i="1"/>
  <c r="Q149" i="1"/>
  <c r="P149" i="1"/>
  <c r="V147" i="1"/>
  <c r="U147" i="1"/>
  <c r="T147" i="1"/>
  <c r="S147" i="1"/>
  <c r="R147" i="1"/>
  <c r="Q147" i="1"/>
  <c r="P147" i="1"/>
  <c r="V146" i="1"/>
  <c r="U146" i="1"/>
  <c r="T146" i="1"/>
  <c r="S146" i="1"/>
  <c r="R146" i="1"/>
  <c r="V145" i="1"/>
  <c r="U145" i="1"/>
  <c r="T145" i="1"/>
  <c r="S145" i="1"/>
  <c r="R145" i="1"/>
  <c r="Q145" i="1"/>
  <c r="P145" i="1"/>
  <c r="V144" i="1"/>
  <c r="U144" i="1"/>
  <c r="T144" i="1"/>
  <c r="S144" i="1"/>
  <c r="R144" i="1"/>
  <c r="Q144" i="1"/>
  <c r="V142" i="1"/>
  <c r="U142" i="1"/>
  <c r="T142" i="1"/>
  <c r="S142" i="1"/>
  <c r="R142" i="1"/>
  <c r="Q142" i="1"/>
  <c r="P142" i="1"/>
  <c r="V140" i="1"/>
  <c r="U140" i="1"/>
  <c r="T140" i="1"/>
  <c r="S140" i="1"/>
  <c r="R140" i="1"/>
  <c r="Q140" i="1"/>
  <c r="P140" i="1"/>
  <c r="V139" i="1"/>
  <c r="U139" i="1"/>
  <c r="T139" i="1"/>
  <c r="S139" i="1"/>
  <c r="R139" i="1"/>
  <c r="Q139" i="1"/>
  <c r="P139" i="1"/>
  <c r="V138" i="1"/>
  <c r="U138" i="1"/>
  <c r="T138" i="1"/>
  <c r="S138" i="1"/>
  <c r="R138" i="1"/>
  <c r="Q138" i="1"/>
  <c r="P138" i="1"/>
  <c r="V137" i="1"/>
  <c r="U137" i="1"/>
  <c r="T137" i="1"/>
  <c r="S137" i="1"/>
  <c r="R137" i="1"/>
  <c r="Q137" i="1"/>
  <c r="P137" i="1"/>
  <c r="V136" i="1"/>
  <c r="U136" i="1"/>
  <c r="T136" i="1"/>
  <c r="S136" i="1"/>
  <c r="R136" i="1"/>
  <c r="Q136" i="1"/>
  <c r="P136" i="1"/>
  <c r="V135" i="1"/>
  <c r="U135" i="1"/>
  <c r="T135" i="1"/>
  <c r="S135" i="1"/>
  <c r="R135" i="1"/>
  <c r="Q135" i="1"/>
  <c r="P135" i="1"/>
  <c r="V134" i="1"/>
  <c r="U134" i="1"/>
  <c r="T134" i="1"/>
  <c r="S134" i="1"/>
  <c r="R134" i="1"/>
  <c r="Q134" i="1"/>
  <c r="P134" i="1"/>
  <c r="V133" i="1"/>
  <c r="U133" i="1"/>
  <c r="T133" i="1"/>
  <c r="S133" i="1"/>
  <c r="R133" i="1"/>
  <c r="Q133" i="1"/>
  <c r="P133" i="1"/>
  <c r="V132" i="1"/>
  <c r="U132" i="1"/>
  <c r="T132" i="1"/>
  <c r="S132" i="1"/>
  <c r="R132" i="1"/>
  <c r="Q132" i="1"/>
  <c r="P132" i="1"/>
  <c r="V131" i="1"/>
  <c r="U131" i="1"/>
  <c r="T131" i="1"/>
  <c r="S131" i="1"/>
  <c r="R131" i="1"/>
  <c r="Q131" i="1"/>
  <c r="P131" i="1"/>
  <c r="V130" i="1"/>
  <c r="U130" i="1"/>
  <c r="T130" i="1"/>
  <c r="S130" i="1"/>
  <c r="R130" i="1"/>
  <c r="Q130" i="1"/>
  <c r="P130" i="1"/>
  <c r="V129" i="1"/>
  <c r="U129" i="1"/>
  <c r="T129" i="1"/>
  <c r="S129" i="1"/>
  <c r="R129" i="1"/>
  <c r="Q129" i="1"/>
  <c r="P129" i="1"/>
  <c r="V128" i="1"/>
  <c r="U128" i="1"/>
  <c r="T128" i="1"/>
  <c r="S128" i="1"/>
  <c r="R128" i="1"/>
  <c r="Q128" i="1"/>
  <c r="P128" i="1"/>
  <c r="V127" i="1"/>
  <c r="U127" i="1"/>
  <c r="T127" i="1"/>
  <c r="S127" i="1"/>
  <c r="R127" i="1"/>
  <c r="Q127" i="1"/>
  <c r="P127" i="1"/>
  <c r="V126" i="1"/>
  <c r="U126" i="1"/>
  <c r="T126" i="1"/>
  <c r="S126" i="1"/>
  <c r="R126" i="1"/>
  <c r="Q126" i="1"/>
  <c r="P126" i="1"/>
  <c r="V125" i="1"/>
  <c r="U125" i="1"/>
  <c r="T125" i="1"/>
  <c r="S125" i="1"/>
  <c r="R125" i="1"/>
  <c r="Q125" i="1"/>
  <c r="P125" i="1"/>
  <c r="V123" i="1"/>
  <c r="U123" i="1"/>
  <c r="T123" i="1"/>
  <c r="S123" i="1"/>
  <c r="R123" i="1"/>
  <c r="Q123" i="1"/>
  <c r="P123" i="1"/>
  <c r="V122" i="1"/>
  <c r="U122" i="1"/>
  <c r="T122" i="1"/>
  <c r="S122" i="1"/>
  <c r="R122" i="1"/>
  <c r="Q122" i="1"/>
  <c r="P122" i="1"/>
  <c r="V121" i="1"/>
  <c r="U121" i="1"/>
  <c r="T121" i="1"/>
  <c r="S121" i="1"/>
  <c r="R121" i="1"/>
  <c r="Q121" i="1"/>
  <c r="P121" i="1"/>
  <c r="V120" i="1"/>
  <c r="U120" i="1"/>
  <c r="T120" i="1"/>
  <c r="S120" i="1"/>
  <c r="R120" i="1"/>
  <c r="Q120" i="1"/>
  <c r="P120" i="1"/>
  <c r="V119" i="1"/>
  <c r="U119" i="1"/>
  <c r="T119" i="1"/>
  <c r="S119" i="1"/>
  <c r="R119" i="1"/>
  <c r="Q119" i="1"/>
  <c r="P119" i="1"/>
  <c r="V118" i="1"/>
  <c r="U118" i="1"/>
  <c r="T118" i="1"/>
  <c r="S118" i="1"/>
  <c r="R118" i="1"/>
  <c r="Q118" i="1"/>
  <c r="P118" i="1"/>
  <c r="V117" i="1"/>
  <c r="U117" i="1"/>
  <c r="T117" i="1"/>
  <c r="S117" i="1"/>
  <c r="R117" i="1"/>
  <c r="Q117" i="1"/>
  <c r="P117" i="1"/>
  <c r="V116" i="1"/>
  <c r="U116" i="1"/>
  <c r="T116" i="1"/>
  <c r="S116" i="1"/>
  <c r="R116" i="1"/>
  <c r="Q116" i="1"/>
  <c r="P116" i="1"/>
  <c r="V115" i="1"/>
  <c r="U115" i="1"/>
  <c r="T115" i="1"/>
  <c r="S115" i="1"/>
  <c r="R115" i="1"/>
  <c r="Q115" i="1"/>
  <c r="P115" i="1"/>
  <c r="V114" i="1"/>
  <c r="U114" i="1"/>
  <c r="T114" i="1"/>
  <c r="S114" i="1"/>
  <c r="R114" i="1"/>
  <c r="Q114" i="1"/>
  <c r="P114" i="1"/>
  <c r="P110" i="1"/>
  <c r="Q110" i="1"/>
  <c r="R110" i="1"/>
  <c r="S110" i="1"/>
  <c r="T110" i="1"/>
  <c r="U110" i="1"/>
  <c r="V110" i="1"/>
  <c r="P111" i="1"/>
  <c r="Q111" i="1"/>
  <c r="R111" i="1"/>
  <c r="S111" i="1"/>
  <c r="T111" i="1"/>
  <c r="U111" i="1"/>
  <c r="V111" i="1"/>
  <c r="P112" i="1"/>
  <c r="Q112" i="1"/>
  <c r="R112" i="1"/>
  <c r="S112" i="1"/>
  <c r="T112" i="1"/>
  <c r="U112" i="1"/>
  <c r="V112" i="1"/>
  <c r="Q109" i="1"/>
  <c r="R109" i="1"/>
  <c r="S109" i="1"/>
  <c r="T109" i="1"/>
  <c r="U109" i="1"/>
  <c r="V109" i="1"/>
  <c r="P109" i="1"/>
  <c r="P160" i="1"/>
  <c r="Q160" i="1"/>
  <c r="R160" i="1"/>
  <c r="S160" i="1"/>
  <c r="T160" i="1"/>
  <c r="U160" i="1"/>
  <c r="V160" i="1"/>
  <c r="Q170" i="1"/>
  <c r="R170" i="1"/>
  <c r="S170" i="1"/>
  <c r="T170" i="1"/>
  <c r="U170" i="1"/>
  <c r="V170" i="1"/>
  <c r="P170" i="1"/>
  <c r="Q148" i="1"/>
  <c r="R148" i="1"/>
  <c r="S148" i="1"/>
  <c r="T148" i="1"/>
  <c r="U148" i="1"/>
  <c r="V148" i="1"/>
  <c r="P148" i="1"/>
  <c r="R143" i="1"/>
  <c r="S143" i="1"/>
  <c r="T143" i="1"/>
  <c r="U143" i="1"/>
  <c r="V143" i="1"/>
  <c r="Q113" i="1"/>
  <c r="R113" i="1"/>
  <c r="S113" i="1"/>
  <c r="T113" i="1"/>
  <c r="U113" i="1"/>
  <c r="V113" i="1"/>
  <c r="P113" i="1"/>
  <c r="V176" i="1"/>
  <c r="V175" i="1"/>
  <c r="U176" i="1"/>
  <c r="U175" i="1"/>
  <c r="T176" i="1"/>
  <c r="T175" i="1"/>
  <c r="S176" i="1"/>
  <c r="S175" i="1"/>
  <c r="R176" i="1"/>
  <c r="R175" i="1"/>
  <c r="Q176" i="1"/>
  <c r="Q175" i="1"/>
  <c r="P176" i="1"/>
  <c r="P175" i="1"/>
  <c r="Q108" i="1"/>
  <c r="R108" i="1"/>
  <c r="S108" i="1"/>
  <c r="T108" i="1"/>
  <c r="U108" i="1"/>
  <c r="V108" i="1"/>
  <c r="P108" i="1"/>
  <c r="S177" i="1"/>
  <c r="T177" i="1"/>
  <c r="V177" i="1"/>
  <c r="R177" i="1"/>
  <c r="U177" i="1"/>
  <c r="C15" i="4"/>
  <c r="D259" i="6"/>
  <c r="D272" i="6"/>
  <c r="F259" i="6"/>
  <c r="F272" i="6"/>
  <c r="G259" i="6"/>
  <c r="H259" i="6"/>
  <c r="H272" i="6"/>
  <c r="C259" i="6"/>
  <c r="C272" i="6"/>
  <c r="E256" i="6"/>
  <c r="E269" i="6"/>
  <c r="Q184" i="1"/>
  <c r="R184" i="1"/>
  <c r="S184" i="1"/>
  <c r="T184" i="1"/>
  <c r="U184" i="1"/>
  <c r="V184" i="1"/>
  <c r="Q186" i="1"/>
  <c r="R186" i="1"/>
  <c r="S186" i="1"/>
  <c r="T186" i="1"/>
  <c r="U186" i="1"/>
  <c r="V186" i="1"/>
  <c r="Q188" i="1"/>
  <c r="R188" i="1"/>
  <c r="S188" i="1"/>
  <c r="T188" i="1"/>
  <c r="U188" i="1"/>
  <c r="V188" i="1"/>
  <c r="Q190" i="1"/>
  <c r="R190" i="1"/>
  <c r="S190" i="1"/>
  <c r="T190" i="1"/>
  <c r="U190" i="1"/>
  <c r="V190" i="1"/>
  <c r="Q192" i="1"/>
  <c r="R192" i="1"/>
  <c r="S192" i="1"/>
  <c r="T192" i="1"/>
  <c r="U192" i="1"/>
  <c r="V192" i="1"/>
  <c r="Q196" i="1"/>
  <c r="R196" i="1"/>
  <c r="S196" i="1"/>
  <c r="T196" i="1"/>
  <c r="U196" i="1"/>
  <c r="V196" i="1"/>
  <c r="P196" i="1"/>
  <c r="P192" i="1"/>
  <c r="P190" i="1"/>
  <c r="P188" i="1"/>
  <c r="P186" i="1"/>
  <c r="P184" i="1"/>
  <c r="V96" i="1"/>
  <c r="U96" i="1"/>
  <c r="T96" i="1"/>
  <c r="S96" i="1"/>
  <c r="R96" i="1"/>
  <c r="Q96" i="1"/>
  <c r="P96" i="1"/>
  <c r="V95" i="1"/>
  <c r="U95" i="1"/>
  <c r="T95" i="1"/>
  <c r="S95" i="1"/>
  <c r="R95" i="1"/>
  <c r="Q95" i="1"/>
  <c r="P95" i="1"/>
  <c r="T69" i="1"/>
  <c r="T214" i="1"/>
  <c r="F23" i="8"/>
  <c r="V69" i="1"/>
  <c r="V214" i="1"/>
  <c r="H23" i="8"/>
  <c r="U69" i="1"/>
  <c r="U214" i="1"/>
  <c r="G23" i="8"/>
  <c r="S69" i="1"/>
  <c r="S214" i="1"/>
  <c r="E23" i="8"/>
  <c r="R69" i="1"/>
  <c r="R214" i="1"/>
  <c r="D23" i="8"/>
  <c r="Q69" i="1"/>
  <c r="Q214" i="1"/>
  <c r="C23" i="8"/>
  <c r="P69" i="1"/>
  <c r="P214" i="1"/>
  <c r="B23" i="8"/>
  <c r="R217" i="1"/>
  <c r="D26" i="8"/>
  <c r="S217" i="1"/>
  <c r="E26" i="8"/>
  <c r="T217" i="1"/>
  <c r="F26" i="8"/>
  <c r="U217" i="1"/>
  <c r="G26" i="8"/>
  <c r="V217" i="1"/>
  <c r="H26" i="8"/>
  <c r="Q146" i="1"/>
  <c r="Q143" i="1"/>
  <c r="Q177" i="1"/>
  <c r="Q217" i="1"/>
  <c r="C26" i="8"/>
  <c r="P146" i="1"/>
  <c r="P144" i="1"/>
  <c r="D52" i="2"/>
  <c r="E52" i="2"/>
  <c r="F52" i="2"/>
  <c r="G52" i="2"/>
  <c r="H52" i="2"/>
  <c r="I52" i="2"/>
  <c r="C52" i="2"/>
  <c r="C47" i="8"/>
  <c r="C48" i="8"/>
  <c r="C49" i="8"/>
  <c r="C52" i="8"/>
  <c r="C53" i="8"/>
  <c r="C55" i="8"/>
  <c r="D47" i="8"/>
  <c r="D48" i="8"/>
  <c r="D49" i="8"/>
  <c r="D52" i="8"/>
  <c r="D53" i="8"/>
  <c r="D55" i="8"/>
  <c r="E47" i="8"/>
  <c r="E48" i="8"/>
  <c r="E49" i="8"/>
  <c r="E52" i="8"/>
  <c r="E53" i="8"/>
  <c r="E55" i="8"/>
  <c r="F47" i="8"/>
  <c r="F48" i="8"/>
  <c r="F49" i="8"/>
  <c r="F52" i="8"/>
  <c r="F53" i="8"/>
  <c r="F55" i="8"/>
  <c r="G47" i="8"/>
  <c r="G48" i="8"/>
  <c r="G49" i="8"/>
  <c r="G52" i="8"/>
  <c r="G53" i="8"/>
  <c r="G55" i="8"/>
  <c r="H47" i="8"/>
  <c r="H48" i="8"/>
  <c r="H49" i="8"/>
  <c r="H52" i="8"/>
  <c r="H53" i="8"/>
  <c r="H55" i="8"/>
  <c r="B47" i="8"/>
  <c r="B48" i="8"/>
  <c r="B49" i="8"/>
  <c r="B52" i="8"/>
  <c r="B53" i="8"/>
  <c r="B55" i="8"/>
  <c r="D5" i="2"/>
  <c r="C36" i="8"/>
  <c r="C50" i="8"/>
  <c r="D65" i="2"/>
  <c r="C42" i="8"/>
  <c r="C56" i="8"/>
  <c r="C9" i="3"/>
  <c r="E5" i="2"/>
  <c r="D36" i="8"/>
  <c r="E65" i="2"/>
  <c r="D42" i="8"/>
  <c r="D56" i="8"/>
  <c r="D9" i="3"/>
  <c r="F5" i="2"/>
  <c r="E36" i="8"/>
  <c r="F65" i="2"/>
  <c r="E42" i="8"/>
  <c r="E56" i="8"/>
  <c r="E9" i="3"/>
  <c r="G5" i="2"/>
  <c r="F36" i="8"/>
  <c r="F50" i="8"/>
  <c r="G65" i="2"/>
  <c r="F42" i="8"/>
  <c r="F56" i="8"/>
  <c r="F9" i="3"/>
  <c r="H5" i="2"/>
  <c r="G36" i="8"/>
  <c r="G50" i="8"/>
  <c r="H65" i="2"/>
  <c r="G42" i="8"/>
  <c r="G56" i="8"/>
  <c r="G9" i="3"/>
  <c r="I5" i="2"/>
  <c r="H36" i="8"/>
  <c r="I65" i="2"/>
  <c r="H42" i="8"/>
  <c r="H56" i="8"/>
  <c r="H9" i="3"/>
  <c r="C5" i="2"/>
  <c r="B36" i="8"/>
  <c r="C65" i="2"/>
  <c r="B42" i="8"/>
  <c r="B56" i="8"/>
  <c r="B9" i="3"/>
  <c r="C275" i="6"/>
  <c r="E274" i="6"/>
  <c r="F274" i="6"/>
  <c r="I274" i="6"/>
  <c r="E273" i="6"/>
  <c r="I273" i="6"/>
  <c r="C273" i="6"/>
  <c r="D277" i="6"/>
  <c r="G277" i="6"/>
  <c r="H277" i="6"/>
  <c r="E277" i="6"/>
  <c r="I277" i="6"/>
  <c r="E276" i="6"/>
  <c r="G276" i="6"/>
  <c r="E271" i="6"/>
  <c r="F271" i="6"/>
  <c r="G271" i="6"/>
  <c r="I271" i="6"/>
  <c r="H270" i="6"/>
  <c r="E270" i="6"/>
  <c r="I270" i="6"/>
  <c r="D268" i="6"/>
  <c r="H268" i="6"/>
  <c r="I268" i="6"/>
  <c r="C268" i="6"/>
  <c r="C271" i="6"/>
  <c r="D273" i="6"/>
  <c r="H273" i="6"/>
  <c r="D276" i="6"/>
  <c r="D274" i="6"/>
  <c r="C276" i="6"/>
  <c r="C270" i="6"/>
  <c r="F277" i="6"/>
  <c r="H274" i="6"/>
  <c r="C277" i="6"/>
  <c r="Q210" i="1"/>
  <c r="C19" i="8"/>
  <c r="R210" i="1"/>
  <c r="D19" i="8"/>
  <c r="S210" i="1"/>
  <c r="E19" i="8"/>
  <c r="T210" i="1"/>
  <c r="F19" i="8"/>
  <c r="U210" i="1"/>
  <c r="G19" i="8"/>
  <c r="V210" i="1"/>
  <c r="H19" i="8"/>
  <c r="Q211" i="1"/>
  <c r="C20" i="8"/>
  <c r="R211" i="1"/>
  <c r="D20" i="8"/>
  <c r="S211" i="1"/>
  <c r="E20" i="8"/>
  <c r="T211" i="1"/>
  <c r="F20" i="8"/>
  <c r="U211" i="1"/>
  <c r="G20" i="8"/>
  <c r="V211" i="1"/>
  <c r="H20" i="8"/>
  <c r="Q213" i="1"/>
  <c r="C22" i="8"/>
  <c r="R213" i="1"/>
  <c r="D22" i="8"/>
  <c r="S213" i="1"/>
  <c r="E22" i="8"/>
  <c r="T213" i="1"/>
  <c r="F22" i="8"/>
  <c r="U213" i="1"/>
  <c r="G22" i="8"/>
  <c r="V213" i="1"/>
  <c r="H22" i="8"/>
  <c r="Q218" i="1"/>
  <c r="C27" i="8"/>
  <c r="R218" i="1"/>
  <c r="D27" i="8"/>
  <c r="S218" i="1"/>
  <c r="E27" i="8"/>
  <c r="T218" i="1"/>
  <c r="F27" i="8"/>
  <c r="U218" i="1"/>
  <c r="G27" i="8"/>
  <c r="V218" i="1"/>
  <c r="H27" i="8"/>
  <c r="P218" i="1"/>
  <c r="B27" i="8"/>
  <c r="P213" i="1"/>
  <c r="B22" i="8"/>
  <c r="P211" i="1"/>
  <c r="B20" i="8"/>
  <c r="P210" i="1"/>
  <c r="B19" i="8"/>
  <c r="Q72" i="1"/>
  <c r="R72" i="1"/>
  <c r="S72" i="1"/>
  <c r="T72" i="1"/>
  <c r="U72" i="1"/>
  <c r="V72" i="1"/>
  <c r="Q73" i="1"/>
  <c r="R73" i="1"/>
  <c r="S73" i="1"/>
  <c r="T73" i="1"/>
  <c r="U73" i="1"/>
  <c r="V73" i="1"/>
  <c r="Q74" i="1"/>
  <c r="R74" i="1"/>
  <c r="S74" i="1"/>
  <c r="T74" i="1"/>
  <c r="U74" i="1"/>
  <c r="V74" i="1"/>
  <c r="Q75" i="1"/>
  <c r="R75" i="1"/>
  <c r="S75" i="1"/>
  <c r="T75" i="1"/>
  <c r="U75" i="1"/>
  <c r="V75" i="1"/>
  <c r="P75" i="1"/>
  <c r="P74" i="1"/>
  <c r="P73" i="1"/>
  <c r="P72" i="1"/>
  <c r="V20" i="1"/>
  <c r="U20" i="1"/>
  <c r="T20" i="1"/>
  <c r="S20" i="1"/>
  <c r="R20" i="1"/>
  <c r="Q20" i="1"/>
  <c r="P20" i="1"/>
  <c r="Q24" i="1"/>
  <c r="R24" i="1"/>
  <c r="S24" i="1"/>
  <c r="T24" i="1"/>
  <c r="U24" i="1"/>
  <c r="V24" i="1"/>
  <c r="P24" i="1"/>
  <c r="G272" i="6"/>
  <c r="C239" i="6"/>
  <c r="D270" i="6"/>
  <c r="H271" i="6"/>
  <c r="I276" i="6"/>
  <c r="H252" i="6"/>
  <c r="F273" i="6"/>
  <c r="D252" i="6"/>
  <c r="G270" i="6"/>
  <c r="H276" i="6"/>
  <c r="C274" i="6"/>
  <c r="G268" i="6"/>
  <c r="F270" i="6"/>
  <c r="E252" i="6"/>
  <c r="F275" i="6"/>
  <c r="F252" i="6"/>
  <c r="G275" i="6"/>
  <c r="G252" i="6"/>
  <c r="C252" i="6"/>
  <c r="I252" i="6"/>
  <c r="F276" i="6"/>
  <c r="G274" i="6"/>
  <c r="G273" i="6"/>
  <c r="F239" i="6"/>
  <c r="D239" i="6"/>
  <c r="G239" i="6"/>
  <c r="D271" i="6"/>
  <c r="E268" i="6"/>
  <c r="C256" i="6"/>
  <c r="C269" i="6"/>
  <c r="V25" i="1"/>
  <c r="V212" i="1"/>
  <c r="H21" i="8"/>
  <c r="U204" i="1"/>
  <c r="U219" i="1"/>
  <c r="G28" i="8"/>
  <c r="G256" i="6"/>
  <c r="G269" i="6"/>
  <c r="F256" i="6"/>
  <c r="F269" i="6"/>
  <c r="I256" i="6"/>
  <c r="I269" i="6"/>
  <c r="H256" i="6"/>
  <c r="H269" i="6"/>
  <c r="D256" i="6"/>
  <c r="D269" i="6"/>
  <c r="I259" i="6"/>
  <c r="I272" i="6"/>
  <c r="E259" i="6"/>
  <c r="E272" i="6"/>
  <c r="F268" i="6"/>
  <c r="I239" i="6"/>
  <c r="B50" i="8"/>
  <c r="E50" i="8"/>
  <c r="H50" i="8"/>
  <c r="D50" i="8"/>
  <c r="S204" i="1"/>
  <c r="S219" i="1"/>
  <c r="E28" i="8"/>
  <c r="Q204" i="1"/>
  <c r="Q219" i="1"/>
  <c r="C28" i="8"/>
  <c r="G54" i="2"/>
  <c r="U105" i="1"/>
  <c r="U216" i="1"/>
  <c r="G25" i="8"/>
  <c r="L211" i="1"/>
  <c r="P204" i="1"/>
  <c r="P219" i="1"/>
  <c r="B28" i="8"/>
  <c r="T204" i="1"/>
  <c r="T219" i="1"/>
  <c r="F28" i="8"/>
  <c r="V204" i="1"/>
  <c r="V219" i="1"/>
  <c r="H28" i="8"/>
  <c r="R204" i="1"/>
  <c r="R219" i="1"/>
  <c r="D28" i="8"/>
  <c r="L213" i="1"/>
  <c r="K213" i="1"/>
  <c r="S105" i="1"/>
  <c r="S216" i="1"/>
  <c r="E25" i="8"/>
  <c r="R105" i="1"/>
  <c r="R216" i="1"/>
  <c r="D25" i="8"/>
  <c r="V105" i="1"/>
  <c r="V216" i="1"/>
  <c r="H25" i="8"/>
  <c r="R25" i="1"/>
  <c r="R212" i="1"/>
  <c r="D21" i="8"/>
  <c r="S25" i="1"/>
  <c r="S212" i="1"/>
  <c r="E21" i="8"/>
  <c r="Q25" i="1"/>
  <c r="Q212" i="1"/>
  <c r="C21" i="8"/>
  <c r="U25" i="1"/>
  <c r="U212" i="1"/>
  <c r="G21" i="8"/>
  <c r="P143" i="1"/>
  <c r="P177" i="1"/>
  <c r="P217" i="1"/>
  <c r="B26" i="8"/>
  <c r="P105" i="1"/>
  <c r="P216" i="1"/>
  <c r="B25" i="8"/>
  <c r="T105" i="1"/>
  <c r="T216" i="1"/>
  <c r="F25" i="8"/>
  <c r="Q105" i="1"/>
  <c r="Q216" i="1"/>
  <c r="C25" i="8"/>
  <c r="K219" i="1"/>
  <c r="L219" i="1"/>
  <c r="K218" i="1"/>
  <c r="L218" i="1"/>
  <c r="R77" i="1"/>
  <c r="R215" i="1"/>
  <c r="D24" i="8"/>
  <c r="V77" i="1"/>
  <c r="V215" i="1"/>
  <c r="H24" i="8"/>
  <c r="U77" i="1"/>
  <c r="U215" i="1"/>
  <c r="G24" i="8"/>
  <c r="Q77" i="1"/>
  <c r="Q215" i="1"/>
  <c r="C24" i="8"/>
  <c r="P77" i="1"/>
  <c r="P215" i="1"/>
  <c r="B24" i="8"/>
  <c r="T77" i="1"/>
  <c r="T215" i="1"/>
  <c r="F24" i="8"/>
  <c r="K211" i="1"/>
  <c r="S77" i="1"/>
  <c r="S215" i="1"/>
  <c r="K216" i="1"/>
  <c r="L216" i="1"/>
  <c r="T25" i="1"/>
  <c r="T212" i="1"/>
  <c r="F21" i="8"/>
  <c r="L215" i="1"/>
  <c r="K215" i="1"/>
  <c r="P25" i="1"/>
  <c r="P212" i="1"/>
  <c r="B21" i="8"/>
  <c r="L212" i="1"/>
  <c r="K212" i="1"/>
  <c r="L210" i="1"/>
  <c r="K210" i="1"/>
  <c r="E275" i="6"/>
  <c r="D275" i="6"/>
  <c r="E239" i="6"/>
  <c r="H239" i="6"/>
  <c r="H275" i="6"/>
  <c r="C265" i="6"/>
  <c r="C278" i="6"/>
  <c r="D265" i="6"/>
  <c r="D278" i="6"/>
  <c r="G265" i="6"/>
  <c r="G278" i="6"/>
  <c r="H265" i="6"/>
  <c r="H278" i="6"/>
  <c r="D29" i="8"/>
  <c r="C29" i="8"/>
  <c r="F29" i="8"/>
  <c r="H29" i="8"/>
  <c r="G29" i="8"/>
  <c r="B29" i="8"/>
  <c r="S220" i="1"/>
  <c r="E24" i="8"/>
  <c r="E29" i="8"/>
  <c r="E265" i="6"/>
  <c r="E278" i="6"/>
  <c r="F265" i="6"/>
  <c r="F278" i="6"/>
  <c r="G67" i="2"/>
  <c r="G6" i="4" s="1"/>
  <c r="F40" i="8"/>
  <c r="F43" i="8" s="1"/>
  <c r="V220" i="1"/>
  <c r="Q206" i="1"/>
  <c r="S206" i="1"/>
  <c r="Q220" i="1"/>
  <c r="U220" i="1"/>
  <c r="P206" i="1"/>
  <c r="V206" i="1"/>
  <c r="U206" i="1"/>
  <c r="R206" i="1"/>
  <c r="T206" i="1"/>
  <c r="R220" i="1"/>
  <c r="P220" i="1"/>
  <c r="T220" i="1"/>
  <c r="I275" i="6"/>
  <c r="I265" i="6"/>
  <c r="I278" i="6"/>
  <c r="L217" i="1"/>
  <c r="K217" i="1"/>
  <c r="F54" i="8"/>
  <c r="F35" i="7" l="1"/>
  <c r="B40" i="8"/>
  <c r="C67" i="2"/>
  <c r="C6" i="4" s="1"/>
  <c r="C8" i="4" s="1"/>
  <c r="C40" i="8"/>
  <c r="D67" i="2"/>
  <c r="D6" i="4" s="1"/>
  <c r="D8" i="4" s="1"/>
  <c r="E40" i="8"/>
  <c r="F67" i="2"/>
  <c r="F6" i="4" s="1"/>
  <c r="F14" i="4" s="1"/>
  <c r="G40" i="8"/>
  <c r="H67" i="2"/>
  <c r="H6" i="4" s="1"/>
  <c r="H9" i="4" s="1"/>
  <c r="H17" i="4" s="1"/>
  <c r="E67" i="2"/>
  <c r="E6" i="4" s="1"/>
  <c r="E9" i="4" s="1"/>
  <c r="E17" i="4" s="1"/>
  <c r="D40" i="8"/>
  <c r="I67" i="2"/>
  <c r="I6" i="4" s="1"/>
  <c r="H40" i="8"/>
  <c r="G14" i="4"/>
  <c r="I9" i="4"/>
  <c r="D15" i="4"/>
  <c r="G9" i="4"/>
  <c r="G17" i="4" s="1"/>
  <c r="I14" i="4"/>
  <c r="H15" i="4"/>
  <c r="G15" i="4"/>
  <c r="F15" i="4"/>
  <c r="I8" i="4"/>
  <c r="H51" i="8"/>
  <c r="H13" i="4"/>
  <c r="H214" i="1"/>
  <c r="G13" i="4"/>
  <c r="G8" i="4"/>
  <c r="G214" i="1"/>
  <c r="F13" i="4"/>
  <c r="E15" i="8"/>
  <c r="E51" i="8"/>
  <c r="F220" i="1"/>
  <c r="D15" i="8"/>
  <c r="D51" i="8"/>
  <c r="E220" i="1"/>
  <c r="D220" i="1"/>
  <c r="C9" i="8"/>
  <c r="D13" i="4"/>
  <c r="C13" i="4"/>
  <c r="L214" i="1"/>
  <c r="B9" i="8"/>
  <c r="K214" i="1"/>
  <c r="C220" i="1"/>
  <c r="C9" i="4" l="1"/>
  <c r="C17" i="4" s="1"/>
  <c r="F9" i="4"/>
  <c r="F17" i="4" s="1"/>
  <c r="F8" i="4"/>
  <c r="E8" i="4"/>
  <c r="E14" i="4"/>
  <c r="H54" i="8"/>
  <c r="H43" i="8"/>
  <c r="H8" i="4"/>
  <c r="H16" i="4" s="1"/>
  <c r="G54" i="8"/>
  <c r="G43" i="8"/>
  <c r="C54" i="8"/>
  <c r="C43" i="8"/>
  <c r="H14" i="4"/>
  <c r="D9" i="4"/>
  <c r="D17" i="4" s="1"/>
  <c r="D54" i="8"/>
  <c r="D57" i="8" s="1"/>
  <c r="D43" i="8"/>
  <c r="C14" i="4"/>
  <c r="H57" i="8"/>
  <c r="D14" i="4"/>
  <c r="E43" i="8"/>
  <c r="E54" i="8"/>
  <c r="E57" i="8" s="1"/>
  <c r="B54" i="8"/>
  <c r="B43" i="8"/>
  <c r="I17" i="4"/>
  <c r="I13" i="4"/>
  <c r="I15" i="4"/>
  <c r="I10" i="4"/>
  <c r="I16" i="4"/>
  <c r="H220" i="1"/>
  <c r="G9" i="8"/>
  <c r="F9" i="8"/>
  <c r="G220" i="1"/>
  <c r="G16" i="4"/>
  <c r="G10" i="4"/>
  <c r="F16" i="4"/>
  <c r="D16" i="4"/>
  <c r="C15" i="8"/>
  <c r="C51" i="8"/>
  <c r="C57" i="8" s="1"/>
  <c r="C16" i="4"/>
  <c r="B51" i="8"/>
  <c r="B57" i="8" s="1"/>
  <c r="B15" i="8"/>
  <c r="K220" i="1"/>
  <c r="L220" i="1"/>
  <c r="C10" i="4" l="1"/>
  <c r="E10" i="4"/>
  <c r="F10" i="4"/>
  <c r="D10" i="4"/>
  <c r="H10" i="4"/>
  <c r="G15" i="8"/>
  <c r="G51" i="8"/>
  <c r="G57" i="8" s="1"/>
  <c r="F51" i="8"/>
  <c r="F57" i="8" s="1"/>
  <c r="F15" i="8"/>
</calcChain>
</file>

<file path=xl/comments1.xml><?xml version="1.0" encoding="utf-8"?>
<comments xmlns="http://schemas.openxmlformats.org/spreadsheetml/2006/main">
  <authors>
    <author>Alexandra Vennekens</author>
  </authors>
  <commentList>
    <comment ref="M141" authorId="0">
      <text>
        <r>
          <rPr>
            <b/>
            <sz val="9"/>
            <color indexed="81"/>
            <rFont val="Tahoma"/>
            <family val="2"/>
          </rPr>
          <t>Alexandra Vennekens:</t>
        </r>
        <r>
          <rPr>
            <sz val="9"/>
            <color indexed="81"/>
            <rFont val="Tahoma"/>
            <family val="2"/>
          </rPr>
          <t xml:space="preserve">
Of moet dit div. zijn?
</t>
        </r>
      </text>
    </comment>
  </commentList>
</comments>
</file>

<file path=xl/comments2.xml><?xml version="1.0" encoding="utf-8"?>
<comments xmlns="http://schemas.openxmlformats.org/spreadsheetml/2006/main">
  <authors>
    <author>Alexandra Vennekens</author>
  </authors>
  <commentList>
    <comment ref="M142" authorId="0">
      <text>
        <r>
          <rPr>
            <b/>
            <sz val="9"/>
            <color indexed="81"/>
            <rFont val="Tahoma"/>
            <family val="2"/>
          </rPr>
          <t>Alexandra Vennekens:</t>
        </r>
        <r>
          <rPr>
            <sz val="9"/>
            <color indexed="81"/>
            <rFont val="Tahoma"/>
            <family val="2"/>
          </rPr>
          <t xml:space="preserve">
Of moet dit div. zijn?
</t>
        </r>
      </text>
    </comment>
  </commentList>
</comments>
</file>

<file path=xl/sharedStrings.xml><?xml version="1.0" encoding="utf-8"?>
<sst xmlns="http://schemas.openxmlformats.org/spreadsheetml/2006/main" count="2023" uniqueCount="540">
  <si>
    <t>% R&amp;D</t>
  </si>
  <si>
    <t>Best.</t>
  </si>
  <si>
    <t>Type</t>
  </si>
  <si>
    <t>XIII Economische Zaken</t>
  </si>
  <si>
    <t>Goed functionerende economie en markten</t>
  </si>
  <si>
    <t>Onderzoek &amp; opdrachten</t>
  </si>
  <si>
    <t>R/O</t>
  </si>
  <si>
    <t>Beleidsvoorbereiding en evaluaties Veiligheid en Frequenties</t>
  </si>
  <si>
    <t>R/SO/O</t>
  </si>
  <si>
    <t>Bijdrage Metrologie (Nmi)</t>
  </si>
  <si>
    <t>SO</t>
  </si>
  <si>
    <t>Bijdrage aan het CBS</t>
  </si>
  <si>
    <t>R</t>
  </si>
  <si>
    <t>Een sterk innovatievermogen</t>
  </si>
  <si>
    <t>12.01.01</t>
  </si>
  <si>
    <t>IO</t>
  </si>
  <si>
    <t>O</t>
  </si>
  <si>
    <t>12.01.04</t>
  </si>
  <si>
    <t>12.01.05</t>
  </si>
  <si>
    <t>U/TNO/DLO/SO/O</t>
  </si>
  <si>
    <t>12.01.06</t>
  </si>
  <si>
    <t xml:space="preserve">SO </t>
  </si>
  <si>
    <t>div.</t>
  </si>
  <si>
    <t>Div</t>
  </si>
  <si>
    <t>TNO</t>
  </si>
  <si>
    <t>12.10.01</t>
  </si>
  <si>
    <t>12.10.02</t>
  </si>
  <si>
    <t>12.10.03</t>
  </si>
  <si>
    <t>NWO</t>
  </si>
  <si>
    <t>TNO/DLO/SO/NWO</t>
  </si>
  <si>
    <t>div</t>
  </si>
  <si>
    <t>O/U/TNO</t>
  </si>
  <si>
    <t>13.01.05</t>
  </si>
  <si>
    <t xml:space="preserve">O </t>
  </si>
  <si>
    <t>O/NWO/KNAW/TNO/DLO/R</t>
  </si>
  <si>
    <t>SO/O</t>
  </si>
  <si>
    <t>Een doelmatige en duurzame energievoorziening</t>
  </si>
  <si>
    <t>Topsectoren energie</t>
  </si>
  <si>
    <t>Energie-innovatie (IA) - O</t>
  </si>
  <si>
    <t>Energie-innovatie (IA) - overig</t>
  </si>
  <si>
    <t>divers</t>
  </si>
  <si>
    <t>Carbon Capture and Storage</t>
  </si>
  <si>
    <t>HFR/NRG</t>
  </si>
  <si>
    <t>O&amp;O bodembeheer</t>
  </si>
  <si>
    <t>Straling</t>
  </si>
  <si>
    <t>RIVM</t>
  </si>
  <si>
    <t>Pallas</t>
  </si>
  <si>
    <t>Bijdrage aan ECN</t>
  </si>
  <si>
    <t>ECN</t>
  </si>
  <si>
    <t>Concurrerende, duurzame, veilige agro-, visserij- en voedselketens</t>
  </si>
  <si>
    <t>Kennisbasis</t>
  </si>
  <si>
    <t>DLO</t>
  </si>
  <si>
    <t>Onderzoeksprogramma's</t>
  </si>
  <si>
    <t>Topsectoren</t>
  </si>
  <si>
    <t>Bijdrage aan ZonMw voor proeven</t>
  </si>
  <si>
    <t>ZonMW</t>
  </si>
  <si>
    <t>Apparaat</t>
  </si>
  <si>
    <t>Centraal Plan Bureau</t>
  </si>
  <si>
    <t>TOTAAL ECONOMISCHE ZAKEN</t>
  </si>
  <si>
    <t>12.01.02</t>
  </si>
  <si>
    <t>12.01.03</t>
  </si>
  <si>
    <t>13.10.04</t>
  </si>
  <si>
    <t>Inst.</t>
  </si>
  <si>
    <t>Proj.</t>
  </si>
  <si>
    <t>X Defensie</t>
  </si>
  <si>
    <t>III Algemene Zaken</t>
  </si>
  <si>
    <t>V Buitenlandse Zaken</t>
  </si>
  <si>
    <t>VI Veiligheid en Justitie</t>
  </si>
  <si>
    <t>VIII Onderwijs, Cultuur en Wetenschap</t>
  </si>
  <si>
    <t>Lucht- en Ruimtevaart</t>
  </si>
  <si>
    <t>Eurostars</t>
  </si>
  <si>
    <t>Overig (NABS 6)</t>
  </si>
  <si>
    <t>Overig (NABS 4)</t>
  </si>
  <si>
    <t>Overig (NABS 11)</t>
  </si>
  <si>
    <t>Overig (diverse NABS-categorieën)</t>
  </si>
  <si>
    <t>Bijdrage aan TNO</t>
  </si>
  <si>
    <t>Internationaal Innoveren</t>
  </si>
  <si>
    <t>TKI toeslag</t>
  </si>
  <si>
    <t>Grote Technologische Instituten (MARIN)</t>
  </si>
  <si>
    <t>Grote Technologische Instituten (Deltares)</t>
  </si>
  <si>
    <t>Grote Technologische Instituten (NLR)</t>
  </si>
  <si>
    <t>Topsectoren overig (STW)</t>
  </si>
  <si>
    <t>Topsectoren overig</t>
  </si>
  <si>
    <t>Topsectoren overig (NABS 6)</t>
  </si>
  <si>
    <t>Ruimtevaart (ESA)</t>
  </si>
  <si>
    <t>Biobased Economy</t>
  </si>
  <si>
    <t>NABS</t>
  </si>
  <si>
    <t>Totaal generaal</t>
  </si>
  <si>
    <t>U0604</t>
  </si>
  <si>
    <t>Technologieontwikkeling en kennistoepassing</t>
  </si>
  <si>
    <t>Defensie</t>
  </si>
  <si>
    <t>TNO/GTI</t>
  </si>
  <si>
    <t>NLR-programmafinanciering</t>
  </si>
  <si>
    <t>TOTAAL DEFENSIE</t>
  </si>
  <si>
    <t>Bevorderen van de eenheid van het algemeen regeringsbeleid: wetenschappelijke studies</t>
  </si>
  <si>
    <t>Politieke en soc. systemen, structuren/processen</t>
  </si>
  <si>
    <t>0.1</t>
  </si>
  <si>
    <t xml:space="preserve">Art. 11 </t>
  </si>
  <si>
    <t>Art. 12</t>
  </si>
  <si>
    <t>Art. 16</t>
  </si>
  <si>
    <t>Art. 40</t>
  </si>
  <si>
    <t>TOTAAL ALGEMENE ZAKEN</t>
  </si>
  <si>
    <t>TOTAAL BUITENLANDSE ZAKEN</t>
  </si>
  <si>
    <t>TOTAAL VEILIGHEID EN JUSTITIE</t>
  </si>
  <si>
    <t>TOTAAL ONDERWIJS, CULTUUR EN WETENSCHAP</t>
  </si>
  <si>
    <t>VII Binnenlandse Zaken en Koninkrijksrelaties</t>
  </si>
  <si>
    <t>TOTAAL BINNENLANDSE ZAKEN EN KONINKRIJKSRELATIES</t>
  </si>
  <si>
    <t>91</t>
  </si>
  <si>
    <t>Cultuur, recreatie, religie en massamedia</t>
  </si>
  <si>
    <t>Externe projecten (NSCR)</t>
  </si>
  <si>
    <t>NSCR</t>
  </si>
  <si>
    <t>Externe projecten (U)</t>
  </si>
  <si>
    <t>U</t>
  </si>
  <si>
    <t>Externe projecten (SO)</t>
  </si>
  <si>
    <t>WODC: intern onderzoek</t>
  </si>
  <si>
    <t>13.3</t>
  </si>
  <si>
    <t>Nederlands Forensisch Instituut</t>
  </si>
  <si>
    <t>Artikelnr.</t>
  </si>
  <si>
    <t>Begrotingsartikel</t>
  </si>
  <si>
    <t xml:space="preserve">stand begr. </t>
  </si>
  <si>
    <t>ontwerp</t>
  </si>
  <si>
    <t>meerjarencijfers</t>
  </si>
  <si>
    <t>Nabscode</t>
  </si>
  <si>
    <t>XI Infrastructuur en Milieu</t>
  </si>
  <si>
    <t>TOTAAL INFRASTRUCTUUR EN MILIEU</t>
  </si>
  <si>
    <t>XV Sociale Zaken en Werkgelegenheid</t>
  </si>
  <si>
    <t>XVI Volksgezondheid, Welzijn en Sport</t>
  </si>
  <si>
    <t>TOTAAL GENERAAL</t>
  </si>
  <si>
    <t>TOTAAL SOCIALE ZAKEN EN WERKGELEGENHEID</t>
  </si>
  <si>
    <t>TOTAAL VOLKSGEZONDHEID, WELZIJN EN SPORT</t>
  </si>
  <si>
    <t>Universiteiten</t>
  </si>
  <si>
    <t xml:space="preserve">Onderzoek UMC's </t>
  </si>
  <si>
    <t>NUFFIC</t>
  </si>
  <si>
    <t>UNU-MERIT</t>
  </si>
  <si>
    <t>13.5</t>
  </si>
  <si>
    <t>Sociale wetenschappen</t>
  </si>
  <si>
    <t>KNAW</t>
  </si>
  <si>
    <t>Koninklijke Bibliotheek</t>
  </si>
  <si>
    <t>13.1</t>
  </si>
  <si>
    <t>Natuurwetenschappen</t>
  </si>
  <si>
    <t>Naturalis</t>
  </si>
  <si>
    <t>CPG</t>
  </si>
  <si>
    <t>EMBC</t>
  </si>
  <si>
    <t>EMBL</t>
  </si>
  <si>
    <t>ESA</t>
  </si>
  <si>
    <t>Exploratie en exploitatie van de ruimte</t>
  </si>
  <si>
    <t>CERN</t>
  </si>
  <si>
    <t>ESO</t>
  </si>
  <si>
    <t>Primatencentrum (BPRC)</t>
  </si>
  <si>
    <t>Gezondheid</t>
  </si>
  <si>
    <t>STT</t>
  </si>
  <si>
    <t>13.2</t>
  </si>
  <si>
    <t>Technische wetenschappen</t>
  </si>
  <si>
    <t>Poolonderzoek</t>
  </si>
  <si>
    <t>Medische wetenschappen</t>
  </si>
  <si>
    <t>NIVEL</t>
  </si>
  <si>
    <t>Onderwijs</t>
  </si>
  <si>
    <t>STW</t>
  </si>
  <si>
    <t>Niet in te delen wetenschappen</t>
  </si>
  <si>
    <t>Genomics</t>
  </si>
  <si>
    <t>Kust- en zeeonderzoek</t>
  </si>
  <si>
    <t>Exploratie en exploitatie van het aards milieu</t>
  </si>
  <si>
    <t>Nationale coördinatie</t>
  </si>
  <si>
    <t>Bilaterale samenwerking</t>
  </si>
  <si>
    <t>diverse</t>
  </si>
  <si>
    <t>Onderwijsonderzoek (diverse artikelen)</t>
  </si>
  <si>
    <t>14.4</t>
  </si>
  <si>
    <t>Rijksbureau voor Kunsthistorisch onderzoek (RKD)</t>
  </si>
  <si>
    <t>Culturele zaken: onderzoek</t>
  </si>
  <si>
    <t>Subsidie Boekmanstichting</t>
  </si>
  <si>
    <t>Algemeen</t>
  </si>
  <si>
    <t>IF 18.08.02</t>
  </si>
  <si>
    <t>Bouwcampus</t>
  </si>
  <si>
    <t>Transport, telecommunicatie en ov. Infrastructuren</t>
  </si>
  <si>
    <t>Centrum Ondergronds Bouwen</t>
  </si>
  <si>
    <t>COB</t>
  </si>
  <si>
    <t>PianOo</t>
  </si>
  <si>
    <t>Vernieuwing bouw</t>
  </si>
  <si>
    <t>Vern.Bouw</t>
  </si>
  <si>
    <t>Apparaat Planbureau Leefomgeving (PBL)</t>
  </si>
  <si>
    <t>Milieubeheer en milieuzorg</t>
  </si>
  <si>
    <t>PBL</t>
  </si>
  <si>
    <t>KNMI</t>
  </si>
  <si>
    <t>Mainports en logistiek (proj.)</t>
  </si>
  <si>
    <t>KDC</t>
  </si>
  <si>
    <t>CROW</t>
  </si>
  <si>
    <t>Onderzoek / Kennis</t>
  </si>
  <si>
    <t>KiM</t>
  </si>
  <si>
    <t>InfraQuest</t>
  </si>
  <si>
    <t>TNO/TUD</t>
  </si>
  <si>
    <t>Veiligheid en mobiliteit (SWOV)</t>
  </si>
  <si>
    <t>SWOV</t>
  </si>
  <si>
    <t>NNI</t>
  </si>
  <si>
    <t>Beperken van verzuring en grootschalige luchtverontreiniging</t>
  </si>
  <si>
    <t>(Basis)financiering CUR</t>
  </si>
  <si>
    <t>CUR</t>
  </si>
  <si>
    <t>IF 12.06.02</t>
  </si>
  <si>
    <t>Doorontwikkeling kennismanagement HWN</t>
  </si>
  <si>
    <t>RWS Corporate innovatie (bijdrage water)</t>
  </si>
  <si>
    <t>RWS Corporate innovatie (bijdrage wegen)</t>
  </si>
  <si>
    <t>Integraal waterbeleid</t>
  </si>
  <si>
    <t>Deltares.</t>
  </si>
  <si>
    <t>HWS</t>
  </si>
  <si>
    <t>1219U</t>
  </si>
  <si>
    <t>Innovatie HWBP2</t>
  </si>
  <si>
    <t>HWBP 3: Overige programmakosten  (innovatie)</t>
  </si>
  <si>
    <t>Subsidies Programma Milieutechnologie (ProMT)</t>
  </si>
  <si>
    <t>6501U</t>
  </si>
  <si>
    <t>WBSO</t>
  </si>
  <si>
    <t>RDA</t>
  </si>
  <si>
    <t>Totaal</t>
  </si>
  <si>
    <t>Overige uitgaven voor innovatie, niet zijnde R&amp;D, in miljoenen euro</t>
  </si>
  <si>
    <t>Algemene Zaken</t>
  </si>
  <si>
    <t xml:space="preserve">Buitenlandse Zaken </t>
  </si>
  <si>
    <t>Veiligheid en Justitie</t>
  </si>
  <si>
    <t>Binnenlandse Zaken en Koninkrijksrelaties</t>
  </si>
  <si>
    <t>Onderwijs, Cultuur en Wetenschap</t>
  </si>
  <si>
    <t>Infrastructuur en Milieu</t>
  </si>
  <si>
    <t>Economische Zaken</t>
  </si>
  <si>
    <t>Sociale Zaken en Werkgelegenheid</t>
  </si>
  <si>
    <t>Volksgezondheid, Welzijn en Sport</t>
  </si>
  <si>
    <t xml:space="preserve">- De cijfers van EZ zijn vanaf 2011 inclusief de bijdragen van de ministeries van OCW, I&amp;M, SZW en VWS voor de vraagfinanciering TNO. </t>
  </si>
  <si>
    <t>Fiscale instrumenten voor R&amp;D en innovatie</t>
  </si>
  <si>
    <t>Uitgaven voor R&amp;D</t>
  </si>
  <si>
    <t>Overzicht per departement</t>
  </si>
  <si>
    <t xml:space="preserve">Totale uitgaven voor R&amp;D en innovatie </t>
  </si>
  <si>
    <t>- waarvan innovatierelevant</t>
  </si>
  <si>
    <t>Uitgaven voor innovatie, niet zijnde R&amp;D</t>
  </si>
  <si>
    <t>2.8</t>
  </si>
  <si>
    <t>Stichting Instituut Clingendael</t>
  </si>
  <si>
    <t>Onderzoeksprogramma</t>
  </si>
  <si>
    <t xml:space="preserve"> </t>
  </si>
  <si>
    <t>AZ</t>
  </si>
  <si>
    <t>BuZa</t>
  </si>
  <si>
    <t>VenJ</t>
  </si>
  <si>
    <t>BZK</t>
  </si>
  <si>
    <t>OCW</t>
  </si>
  <si>
    <t>Def</t>
  </si>
  <si>
    <t>I&amp;M</t>
  </si>
  <si>
    <t>EZ</t>
  </si>
  <si>
    <t>SZW</t>
  </si>
  <si>
    <t>VWS</t>
  </si>
  <si>
    <t>Landbouwwetenschappen</t>
  </si>
  <si>
    <t>Wettelijke onderzoekstaken</t>
  </si>
  <si>
    <t xml:space="preserve">Landbouw </t>
  </si>
  <si>
    <t>Energie</t>
  </si>
  <si>
    <t>Industriële productie en technologie</t>
  </si>
  <si>
    <t>Subsidie Koninklijk Instituut voor de Tropen</t>
  </si>
  <si>
    <t>4.3</t>
  </si>
  <si>
    <t>ZonMw</t>
  </si>
  <si>
    <t>1.2</t>
  </si>
  <si>
    <t>10.3</t>
  </si>
  <si>
    <t>SCP (uitbesteding)</t>
  </si>
  <si>
    <t>SCP (eigen onderzoek)</t>
  </si>
  <si>
    <t>SCP</t>
  </si>
  <si>
    <t>6.1</t>
  </si>
  <si>
    <t>Sport en bewegen</t>
  </si>
  <si>
    <t>Kwaliteit, transparantie en kennisontwikkeling</t>
  </si>
  <si>
    <t>Zorgen voor een goede en toegankelijke zorg</t>
  </si>
  <si>
    <t>2.1</t>
  </si>
  <si>
    <t>Kwaliteit en veiligheid</t>
  </si>
  <si>
    <t>NKI</t>
  </si>
  <si>
    <t>1.4</t>
  </si>
  <si>
    <t>Proj</t>
  </si>
  <si>
    <t>Netwerkplatform innovatie overheid</t>
  </si>
  <si>
    <t>Health toepassingen in de zorg</t>
  </si>
  <si>
    <t>e-mental health</t>
  </si>
  <si>
    <t>Overgangssubsidie anonieme e-mental health</t>
  </si>
  <si>
    <t>NPCF subsidie PGD</t>
  </si>
  <si>
    <t>Subsidie m.b.t. PGD en digitalezorggids</t>
  </si>
  <si>
    <t>IHTSDO (SNOMED CT)</t>
  </si>
  <si>
    <t>Contributie aan internationale organisaties</t>
  </si>
  <si>
    <t>InnoSportNL</t>
  </si>
  <si>
    <t>Zorg voor innoveren</t>
  </si>
  <si>
    <t>Health monitor Nictiz/NIVEL</t>
  </si>
  <si>
    <t>BBP (miljarden euro)</t>
  </si>
  <si>
    <t>Projectfinanciering</t>
  </si>
  <si>
    <t>Buitenlandse Zaken</t>
  </si>
  <si>
    <t>Totaal projectfinanciering</t>
  </si>
  <si>
    <t>Institutionele financiering</t>
  </si>
  <si>
    <t>Totaal institutionele financiering</t>
  </si>
  <si>
    <t>Project- en institutionele financiering</t>
  </si>
  <si>
    <t>Aandeel projectfinanciering</t>
  </si>
  <si>
    <t>UMC</t>
  </si>
  <si>
    <t>Definitie van onderzoek en ontwikkelingswerk (R&amp;D)</t>
  </si>
  <si>
    <t>Kenmerkend voor R&amp;D is het element van oorspronkelijkheid of vernieuwing in het onderzoek.</t>
  </si>
  <si>
    <t>- routinematig verzamelen van gegevens of het routinematig verrichten van metingen;</t>
  </si>
  <si>
    <t>- documentatiewerkzaamheden en vertaalwerk, verspreiding van wetenschappelijke publicaties;</t>
  </si>
  <si>
    <t>A. Institutionele financiering: Vaste bijdragen aan instituten</t>
  </si>
  <si>
    <t xml:space="preserve">Uitgaven die samenhangen met min of meer vaste bijdragen aan onderzoeksinstituten. Het betreft de financiering van instellingen zonder dat er sprake is van een directe selectie van projecten of programma’s vanuit het departement en zonder directe inhoudelijke invulling vanuit de departementen. De uitgaven kunnen de vorm hebben van een basisfinanciering, gericht op de instandhouding van een basisvoorziening, en/of een vorm van doelfinanciering, waarbij de invulling plaatsvindt door het instituut. Dat sluit overigens niet uit dat wensen van het departement daarbij een rol kunnen spelen. </t>
  </si>
  <si>
    <t>B. Projectfinancering: Uitgaven voor onderzoek en ontwikkelingswerk in projecten en programma's</t>
  </si>
  <si>
    <t>%-R&amp;D</t>
  </si>
  <si>
    <t>Aandeel van de vermelde uitgaven voor onderzoek en ontwikkelingswerk in de totale uitgaven van het begrotingsartikel.</t>
  </si>
  <si>
    <t>Code NABS-categorie</t>
  </si>
  <si>
    <t xml:space="preserve">De NABS-classificatie is een indeling van het statistische bureau van de EU (EUROSTAT) met als doel de uitgaven voor R&amp;D te classificeren naar het doel dat het departement voor ogen heeft met de uitgaven. De classificatie kent twee niveaus. Deze twee niveaus gelden echter alleen voor twee categorieën (niet-toepassingsgericht onderzoek).
</t>
  </si>
  <si>
    <t>Bestemming</t>
  </si>
  <si>
    <t>ALGEMENE TOELICHTING</t>
  </si>
  <si>
    <r>
      <t>Niet</t>
    </r>
    <r>
      <rPr>
        <sz val="11"/>
        <rFont val="Calibri"/>
        <family val="2"/>
        <scheme val="minor"/>
      </rPr>
      <t xml:space="preserve"> als onderzoek aan te merken zijn activiteiten zoals: </t>
    </r>
  </si>
  <si>
    <t>SPECIFIEKE TOELICHTING</t>
  </si>
  <si>
    <t>Budgetten voor innovatie</t>
  </si>
  <si>
    <t>Overheidsbudgetten, die gericht zijn op het financieren van:</t>
  </si>
  <si>
    <t>- nieuwe of sterk verbeterde producten</t>
  </si>
  <si>
    <t>- nieuwe processen / methoden</t>
  </si>
  <si>
    <t>- nieuwe of sterk verbeterde diensten</t>
  </si>
  <si>
    <t>- administratieve, organisatorische of marketinginnovatie</t>
  </si>
  <si>
    <t>Geschat aandeel innovatie (%)</t>
  </si>
  <si>
    <t xml:space="preserve">Aandeel van de vermelde R&amp;D-uitgaven dat innovatierelevant is. </t>
  </si>
  <si>
    <t>Overige uitgaven voor innovatie, niet zijnde R&amp;D</t>
  </si>
  <si>
    <t>Het betreft departementale budgetten die geen R&amp;D component hebben, maar specifiek gericht zijn op de bevordering van innovatie.</t>
  </si>
  <si>
    <t xml:space="preserve">Onderzoek (en ontwikkeling) omvat systematisch verrichte, creatieve activiteiten, gebaseerd op wetenschappelijke methoden en gericht op </t>
  </si>
  <si>
    <t>het vergroten van wetenschappelijke kennis en op het ontwikkelen van toepassingen van die kennis.</t>
  </si>
  <si>
    <t>Landbouw</t>
  </si>
  <si>
    <t>Politieke en sociale systemen, structuren en processen</t>
  </si>
  <si>
    <t>Niet-toepassingsgericht onderzoek: Onderzoek gefinancierd uit algemene universitaire fondsen (1ste geldstroom)</t>
  </si>
  <si>
    <t>12.1</t>
  </si>
  <si>
    <t>12.3</t>
  </si>
  <si>
    <t>Niet-toepassingsgericht onderzoek: Onderzoek gefinancierd uit andere bronnen dan hoofdstuk 12</t>
  </si>
  <si>
    <t>Omvang fiscale instrumenten voor R&amp;D en innovatie, in miljoenen euro</t>
  </si>
  <si>
    <t>MIA</t>
  </si>
  <si>
    <t>VAMIL</t>
  </si>
  <si>
    <t>Wet Bevordering Speur- en Ontwikkelingswerk</t>
  </si>
  <si>
    <t>Research &amp; Development Aftrek</t>
  </si>
  <si>
    <t>Regeling Willekeurige afschrijving milieu-investeringen</t>
  </si>
  <si>
    <t>Regeling Milieu Investeringsaftrek</t>
  </si>
  <si>
    <t>Ministerie van Economische Zaken</t>
  </si>
  <si>
    <t xml:space="preserve">Groen beleggen / MIA / VAMIL </t>
  </si>
  <si>
    <t xml:space="preserve">RDA </t>
  </si>
  <si>
    <t xml:space="preserve">WBSO </t>
  </si>
  <si>
    <t>9.3</t>
  </si>
  <si>
    <t>in %</t>
  </si>
  <si>
    <t>Beschikbaarheidsbijdrage academische zorg</t>
  </si>
  <si>
    <t>Toelichting</t>
  </si>
  <si>
    <t>% Innovatie</t>
  </si>
  <si>
    <t>- Toelichting</t>
  </si>
  <si>
    <t>INHOUD VAN HET DOCUMENT</t>
  </si>
  <si>
    <t>Innovatieregelingen gebouwde omgeving</t>
  </si>
  <si>
    <t>18.2</t>
  </si>
  <si>
    <t>Ministerie van Infrastructuur en Milieu</t>
  </si>
  <si>
    <t xml:space="preserve">Naast de fiscale innovatieregelingen WBSO en de RDA is er de innovatiebox. Deze is onderdeel van de primaire </t>
  </si>
  <si>
    <t xml:space="preserve">heffingsstructuur van de vennootschapsbelasting en biedt de mogelijkheid om zelf ontwikkelde immateriële activa </t>
  </si>
  <si>
    <t>toe te delen aan een fiscale box waarin, onder voorwaarden, de netto voordelen zijn belast met een effectief tarief van 5%.</t>
  </si>
  <si>
    <t xml:space="preserve">De innovatiebox is dus geen gebudgetteerde belastinguitgave die terugkomt in het overzicht met belastinguitgaven </t>
  </si>
  <si>
    <t>in bijlage 5 van de Miljoenennota of andere meerjarenoverzichten van de begroting. </t>
  </si>
  <si>
    <t>Bij de introductie van de innovatiebox is de jaarlijkse derving voor de structurele situatie geraamd op €625 miljoen.</t>
  </si>
  <si>
    <t>% R&amp;D/innovatie</t>
  </si>
  <si>
    <t>Strategisch onderzoek RIVM</t>
  </si>
  <si>
    <t>- De cijfers van OCW zijn wat betreft het onderzoeksgedeelte van de eerste geldstroom van de universiteiten inclusief de bijdrage van EZ aan het onderzoeks-</t>
  </si>
  <si>
    <t>realisatie</t>
  </si>
  <si>
    <t>Art. 13</t>
  </si>
  <si>
    <t>Een excellent ondernemingsklimaat</t>
  </si>
  <si>
    <t>Natuur en regio</t>
  </si>
  <si>
    <t>Artikel 18</t>
  </si>
  <si>
    <t>Pieken in de Delta</t>
  </si>
  <si>
    <t>- waarvan uitgaven voor innovatie</t>
  </si>
  <si>
    <t>- in procenten van het totaal</t>
  </si>
  <si>
    <t xml:space="preserve">Totaal </t>
  </si>
  <si>
    <t>R&amp;D-uitgaven per departement, miljoenen euro</t>
  </si>
  <si>
    <t>Innovatie-uitgaven per departement, miljoenen euro</t>
  </si>
  <si>
    <t>Totale uitgaven voor R&amp;D en innovatie per departement, miljoenen euro</t>
  </si>
  <si>
    <t xml:space="preserve">Welke organisatie heeft het onderzoek verricht? </t>
  </si>
  <si>
    <t>subtotaal innovatiedeel EZ-begroting</t>
  </si>
  <si>
    <t>subtotaal landbouwdeel van de EZ-begroting</t>
  </si>
  <si>
    <t>Project</t>
  </si>
  <si>
    <t>Institutioneel</t>
  </si>
  <si>
    <t>% innovatie-</t>
  </si>
  <si>
    <t>relevant</t>
  </si>
  <si>
    <t>Inst+Proj.</t>
  </si>
  <si>
    <t>NWO Talentontwikkeling</t>
  </si>
  <si>
    <t>NWO STW</t>
  </si>
  <si>
    <t>NWO Grootschalige researchinfrastructuur</t>
  </si>
  <si>
    <t>NWO Regieorgaan onderwijsonderzoek</t>
  </si>
  <si>
    <t>NCB / Nationaal Herbarium</t>
  </si>
  <si>
    <t>Rijksdienst voor het Cultureel Erfgoed (RCE)</t>
  </si>
  <si>
    <t>Algemeen: onderzoek</t>
  </si>
  <si>
    <t>18</t>
  </si>
  <si>
    <t>Woningmarkt, woonomgeving en bouw</t>
  </si>
  <si>
    <t>Programmafinanciering TNO (totaal)</t>
  </si>
  <si>
    <t>IF 18</t>
  </si>
  <si>
    <t>BKZ</t>
  </si>
  <si>
    <t>Ziektepreventie (FES RSV)</t>
  </si>
  <si>
    <t>Ziektepreventie (topsectoren)</t>
  </si>
  <si>
    <t>Kwaliteit en veiligheid (FES Lifelines)</t>
  </si>
  <si>
    <t>Kwaliteit en veiligheid (FES LSH)</t>
  </si>
  <si>
    <t>Kwaliteit en Veiligheid / Instellingssubsidie Nictiz</t>
  </si>
  <si>
    <t>Topsectoren: Kwaliteit, transparantie en kennisontwikkeling</t>
  </si>
  <si>
    <t>18.10</t>
  </si>
  <si>
    <t>Co-financiering EFRO en Interreg</t>
  </si>
  <si>
    <t>Innovatiefonds: Innovatiekrediet</t>
  </si>
  <si>
    <t>Innovatiefonds: risicokapitaal Seed</t>
  </si>
  <si>
    <t>MKB-Innovatiestimulering Topsectoren (MIT)</t>
  </si>
  <si>
    <t>Innovatiefonds: Fund to Fund</t>
  </si>
  <si>
    <t>12/14.01.07</t>
  </si>
  <si>
    <t>12/13/14.10.05</t>
  </si>
  <si>
    <t>Dierenwelzijn</t>
  </si>
  <si>
    <t>DLO/U</t>
  </si>
  <si>
    <t>Topsectoren overig (NABS 4)</t>
  </si>
  <si>
    <t>Topsectoren overig (NABS 10)</t>
  </si>
  <si>
    <t xml:space="preserve">O/U </t>
  </si>
  <si>
    <t>Topsectoren overig (NABS 6 -inst)</t>
  </si>
  <si>
    <t>11.1</t>
  </si>
  <si>
    <t>10.7</t>
  </si>
  <si>
    <t>Landenspecifieke sectorale samenwerking</t>
  </si>
  <si>
    <t>6.2</t>
  </si>
  <si>
    <t>Thematische samenwerking</t>
  </si>
  <si>
    <t>10.4</t>
  </si>
  <si>
    <t>Speciale activiteiten</t>
  </si>
  <si>
    <t>Algemeen: beleidsonderzoek</t>
  </si>
  <si>
    <t>Algemeen: beleidsonderzoek apparaat</t>
  </si>
  <si>
    <t>Topsectoren overig (NABS 6 en 13)</t>
  </si>
  <si>
    <t>22.01.06</t>
  </si>
  <si>
    <t>Overig</t>
  </si>
  <si>
    <t>13.01.09</t>
  </si>
  <si>
    <t>Kamers van Koophandel / ondernemerspleinen</t>
  </si>
  <si>
    <t>Topsectoren Energie</t>
  </si>
  <si>
    <t>Energie-innovatie (IA)</t>
  </si>
  <si>
    <t>Uitgaven voor R&amp;D en innovatie, per departement, in miljoenen euro</t>
  </si>
  <si>
    <t>A.</t>
  </si>
  <si>
    <t xml:space="preserve">B. </t>
  </si>
  <si>
    <t xml:space="preserve">C. </t>
  </si>
  <si>
    <t>Uitgaven voor R&amp;D, als % BBP</t>
  </si>
  <si>
    <t>Uitgaven voor innovatie, niet zijnde R&amp;D, als % BBP</t>
  </si>
  <si>
    <t>Totale uitgaven voor R&amp;D en innovatie, als % BBP</t>
  </si>
  <si>
    <t>Fiscale instrumenten voor R&amp;D en innovatie, als % BBP</t>
  </si>
  <si>
    <t>in procenten van het BBP</t>
  </si>
  <si>
    <t>in miljoenen euro</t>
  </si>
  <si>
    <t>Hoge Flux Reactor</t>
  </si>
  <si>
    <t>totaal van de hoofdbekostiging en de specifieke subsidies)</t>
  </si>
  <si>
    <t>waarvan innovatierelevante R&amp;D-uitgaven, miljoenen euro</t>
  </si>
  <si>
    <t>Overzicht per departement van de R&amp;D-uitgaven, die innovatierelevant zijn</t>
  </si>
  <si>
    <t>- uitgaven voor innovatie</t>
  </si>
  <si>
    <t>R&amp;D-uitgaven van de overheid naar doelstelling volgens de NABS-classificatie 2007, in miljoenen euro's</t>
  </si>
  <si>
    <t>TOELICHTING</t>
  </si>
  <si>
    <t>Het gaat om afgebakende overheidsinitiatieven of -interventies waar uit het doel duidelijk blijkt dat ze innovatie of innovatiegerelateerde activiteiten bevorderen in de betreffende sector.</t>
  </si>
  <si>
    <t>- Een totaaloverzicht van de overheidsuitgaven voor R&amp;D en innovatie voor de periode 2014-2020, in miljoenen euro en procenten van het BBP</t>
  </si>
  <si>
    <t>- Het overzicht van de overheidsuitgaven voor R&amp;D en het aandeel innovatierelevante uitgaven daarbinnen, per begrotingsartikel, 2014-2020, in miljoenen euro</t>
  </si>
  <si>
    <t>- Het overzicht van de overheidsuitgaven voor innovatie, 2014-2020, in miljoenen euro</t>
  </si>
  <si>
    <t>- Het overzicht van de overheidsuitgaven voor R&amp;D en innovatie, per departement, 2014-2020, in miljoenen euro</t>
  </si>
  <si>
    <t>- Het overzicht van fiscale instrumenten voor R&amp;D en innovatie, 2014-2020, in miljoenen euro</t>
  </si>
  <si>
    <t>- Het overzicht van overheidsuitgaven voor R&amp;D naar type uitgaven, 2014-2020</t>
  </si>
  <si>
    <t>- Een overzicht van de R&amp;D-uitgaven per NABS-categorie, 2014-2020 (Europese classificatie 2007)</t>
  </si>
  <si>
    <t xml:space="preserve">- De cijfers voor 2014 zijn de realisatiecijfers. De cijfers voor 2015 zijn de voorlopige realisatiecijfers 2015, stand begroting 2016. De tabel bevat voor 2016 de cijfers </t>
  </si>
  <si>
    <t xml:space="preserve">van de ontwerpbegroting. De cijfers voor de jaren 2017-2020 zijn de meerjarenramingen. </t>
  </si>
  <si>
    <t>Overheidsuitgaven voor R&amp;D en innovatie, 2014-2020, in miljoenen euro en in procenten BBP</t>
  </si>
  <si>
    <t>Overheidsuitgaven voor R&amp;D 2014-2020, op basis van begrotingscijfers 2016, per begrotingsartikel, per departement, in miljoenen euro</t>
  </si>
  <si>
    <t>33.2</t>
  </si>
  <si>
    <t>Afdrachten CROW</t>
  </si>
  <si>
    <t xml:space="preserve">NEN </t>
  </si>
  <si>
    <t>IF 16.06.02</t>
  </si>
  <si>
    <t>Kennisontwikkeling (allianties) universiteiten</t>
  </si>
  <si>
    <t>98.02.18</t>
  </si>
  <si>
    <t>Meteorologie, seismologie en Aardobservatie</t>
  </si>
  <si>
    <t>23.01</t>
  </si>
  <si>
    <t>1217U01010013</t>
  </si>
  <si>
    <t>Subsidies KIS</t>
  </si>
  <si>
    <t>1297U01020003</t>
  </si>
  <si>
    <t>Onderzoek / Kennis (KIS)</t>
  </si>
  <si>
    <t>U/SO/O</t>
  </si>
  <si>
    <t>1297U01010005</t>
  </si>
  <si>
    <t>1297U01010009</t>
  </si>
  <si>
    <t>1214U02020003</t>
  </si>
  <si>
    <t>1220u01070001</t>
  </si>
  <si>
    <t>Traffic Quest</t>
  </si>
  <si>
    <t>DF 5.01</t>
  </si>
  <si>
    <t>12.11</t>
  </si>
  <si>
    <t>DF 01</t>
  </si>
  <si>
    <t>Topsectoren overig (NWO)</t>
  </si>
  <si>
    <t>4,6,8</t>
  </si>
  <si>
    <t>Uitfinanciering subsidies (ICT beleid)</t>
  </si>
  <si>
    <t>13.06.09</t>
  </si>
  <si>
    <t>Art. 14/15</t>
  </si>
  <si>
    <t>Energie-Akkoord SER</t>
  </si>
  <si>
    <t>Plantaardige productie (NABS 8)</t>
  </si>
  <si>
    <t>Plantaardige productie (NABS 6)</t>
  </si>
  <si>
    <t>Agrokennis (Concurrerende, duurzame, veilige agro-, visserij en voedselketens)</t>
  </si>
  <si>
    <t>12/13.01.02</t>
  </si>
  <si>
    <t>Artikel 19</t>
  </si>
  <si>
    <t>U/HBO/TNO/SO/O</t>
  </si>
  <si>
    <t>proj.</t>
  </si>
  <si>
    <t>Volksgezondheid: Ethiek</t>
  </si>
  <si>
    <t>3.2.1</t>
  </si>
  <si>
    <t>Kwaliteit en veiligheid (TTI Pharma)</t>
  </si>
  <si>
    <t>Sectorplan mbo-hbo techniek</t>
  </si>
  <si>
    <t>Met de middelen voor het sectorplan mbo-techniek worden de centra voor innovatief vakmanschap in het mbo gefinancierd (eerste generatie). Deze centra, die met cofinanciering van bedrijven tot stand komen, zijn gericht op toponderwijs, toponderzoek en innovaties in het bedrijfsleven.</t>
  </si>
  <si>
    <t xml:space="preserve">Netwerkscholen </t>
  </si>
  <si>
    <t>FES-geld</t>
  </si>
  <si>
    <t>Regionaal investeringsfonds (pps in het mbo)</t>
  </si>
  <si>
    <t xml:space="preserve">6501U </t>
  </si>
  <si>
    <t>5515u</t>
  </si>
  <si>
    <t>Subsidies Zeehaveninnovatieproject (ZIP)</t>
  </si>
  <si>
    <t>1217U</t>
  </si>
  <si>
    <t>1218U</t>
  </si>
  <si>
    <t>KLM</t>
  </si>
  <si>
    <t>via Connekt en (onderzoeks-)projecten</t>
  </si>
  <si>
    <t>via NWO en TKI</t>
  </si>
  <si>
    <t>via STICHTING PROJECTEN BINNENVAART</t>
  </si>
  <si>
    <t>Publiek/Privaat Projectfinanciering</t>
  </si>
  <si>
    <t>Topsectoren overig: Nanolab</t>
  </si>
  <si>
    <t>Topsectoren overig: TKI Click</t>
  </si>
  <si>
    <t>Uitfinanciering subsidies: ICT-beleid</t>
  </si>
  <si>
    <t>Uitfinanciering subsidies: Innovatieregeling Scheepsbouw</t>
  </si>
  <si>
    <t>Plantaardige productie</t>
  </si>
  <si>
    <t>Duurzame veehouderij (incl. duurzame stallen)</t>
  </si>
  <si>
    <t>12.01</t>
  </si>
  <si>
    <t>Innovatiefonds: vroege fase / informal investors (RVO &amp;STW)</t>
  </si>
  <si>
    <t>19.15.05</t>
  </si>
  <si>
    <t>Innovatiefonds: ROM's</t>
  </si>
  <si>
    <t>Sport en bewegen: overige uitgaven</t>
  </si>
  <si>
    <t>6.0</t>
  </si>
  <si>
    <t>Sport en bewegen: Kennis en Innovatieagenda Sport</t>
  </si>
  <si>
    <t>ZonMw: Kennis en Innovatie Sportagenda</t>
  </si>
  <si>
    <t>Cijfers WBSO en RDA gebaseerd op de begroting van EZ voor 2016 (cijfers 2014-2020)</t>
  </si>
  <si>
    <t>Bewerking R&amp;D-cijfers begroting 2016, naar type financiering</t>
  </si>
  <si>
    <t>TUD/TUE e.a.</t>
  </si>
  <si>
    <t>Per 2016 is de Research &amp; Development Aftrek (RDA) samengevoegd met de WBSO</t>
  </si>
  <si>
    <t>Kennis voor Klimaat</t>
  </si>
  <si>
    <t>Stichting Kennis en Klimaat</t>
  </si>
  <si>
    <t>RAAK (tweede geldstroom hogescholen, NWO: Praktijkgericht onderzoek HBO)</t>
  </si>
  <si>
    <t>Onderzoekscomponent hogescholen (HBO Bekostiging Deel ontwerp en ontwikkeling)</t>
  </si>
  <si>
    <t>2014-2020</t>
  </si>
  <si>
    <t xml:space="preserve">(de toerekening van de NWO-uitgaven naar innovatierelevant geldt  voor het </t>
  </si>
  <si>
    <t>NWO-Instituten</t>
  </si>
  <si>
    <t>NWO-Projectfinanciering</t>
  </si>
  <si>
    <t>gedeelte van de Wageningen Universiteit en de cijfers van EZ zijn exclusief deze bijdrage (in 2016 geschat op ongeveer 108 miljoen euro).</t>
  </si>
  <si>
    <t>in procenten van het totaal</t>
  </si>
  <si>
    <t>http://www.cpb.nl/publicatie/middellangetermijnverkenning-2018-2021</t>
  </si>
  <si>
    <t xml:space="preserve">De BBP-cijfers 2014-2020 zijn gebaseerd op de middellange termijnverkenning het CPB van 30 maart 2016. </t>
  </si>
  <si>
    <t xml:space="preserve">De cijfers 2014-2017 betreffen de nominale BBP-cijfers van het CPB. </t>
  </si>
  <si>
    <t xml:space="preserve">De cijfers 2018-2020 zijn gebaseerd op de CPB-cijfers over de volumegroei in die periode met 1,8 procent. </t>
  </si>
  <si>
    <t xml:space="preserve">Uitgaven van een departement voor het onderzoek dat het departement zelf verricht of laat doen door eigen onderzoeksdiensten dan wel uitbesteedt aan universiteiten, instituten of andere derden (private non profit of private partijen). Het gaat om geld dat wordt toegekend aan een groep of individu voor de uitvoering van een R&amp;D-activiteit, dat beperkt is in reikwijdte, budget en tijd, en meestal wordt uitgevoerd op basis van de indiening van een onderzoeksvoorstel dat de onderzoeksactiviteiten beschrijft. </t>
  </si>
  <si>
    <t>- haalbaarheidsonderzoeken, kwaliteitscontroles en vergelijkende onderzoeken;</t>
  </si>
  <si>
    <t>- marketing en implementatie van toepassingen.</t>
  </si>
  <si>
    <t>activiteiten (technologisch, organisatorisch, commercieel) die primair gericht zijn op en de intentie hebben om vernieuwing in zowel de private als de publieke sector tot stand te brengen, leidend tot …</t>
  </si>
  <si>
    <t>Innovatiefonds: vroege fase / informal investors</t>
  </si>
  <si>
    <t>Innovatiefonds: Investeringen in fundamenteel en toegepast onderzoek</t>
  </si>
  <si>
    <t>Transport, telecommunicatie en ov. infrastructuren</t>
  </si>
  <si>
    <t>Berekende absolute bedragen innovatierelevant</t>
  </si>
  <si>
    <t>Het Regionaal Investeringsfonds mbo, onderdeel van het Techniekpact, financiert projecten voor innovatieve samenwerking in het beroepsonderwijs en wil daarmee een betere aansluiting van het onderwijs op de praktijk bereiken. Meer dan 600 bedrijven, ruim 50 mbo-instellingen en regionale overheden investeren gezamenlijk in innovatief onderwijs.</t>
  </si>
  <si>
    <t>De onderuitputting van de RDA voor 2012 is toegevoegd aan het budget voor 2015</t>
  </si>
  <si>
    <t>Transport, telecommunicatie en overige infrastructuren</t>
  </si>
  <si>
    <t>Bron: TOF-database Rathenau Instituut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</si>
</sst>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quot;€&quot;\ * #,##0.00_ ;_ &quot;€&quot;\ * \-#,##0.00_ ;_ &quot;€&quot;\ * &quot;-&quot;??_ ;_ @_ "/>
    <numFmt numFmtId="164" formatCode="0.000"/>
    <numFmt numFmtId="165" formatCode="#,##0.000"/>
    <numFmt numFmtId="166" formatCode="&quot;fl&quot;\ #,##0.00_-;&quot;fl&quot;\ #,##0.00\-"/>
    <numFmt numFmtId="167" formatCode="#,##0.0"/>
    <numFmt numFmtId="168" formatCode="d\ m\a\a\nd\ \J\J\J\J"/>
    <numFmt numFmtId="169" formatCode="0.0"/>
    <numFmt numFmtId="170" formatCode="_-&quot;€&quot;\ * #,##0.00_-;_-&quot;€&quot;\ * #,##0.00\-;_-&quot;€&quot;\ * &quot;-&quot;??_-;_-@_-"/>
    <numFmt numFmtId="171" formatCode="\P\M"/>
    <numFmt numFmtId="172" formatCode="s\t\a\nd\a\a\rd"/>
  </numFmts>
  <fonts count="44" x14ac:knownFonts="1">
    <font>
      <sz val="10"/>
      <color theme="1"/>
      <name val="Arial"/>
      <family val="2"/>
    </font>
    <font>
      <sz val="11"/>
      <color theme="1"/>
      <name val="Calibri"/>
      <family val="2"/>
      <scheme val="minor"/>
    </font>
    <font>
      <b/>
      <sz val="10"/>
      <name val="Calibri"/>
      <family val="2"/>
      <scheme val="minor"/>
    </font>
    <font>
      <sz val="11"/>
      <name val="Calibri"/>
      <family val="2"/>
      <scheme val="minor"/>
    </font>
    <font>
      <b/>
      <sz val="11"/>
      <name val="Calibri"/>
      <family val="2"/>
      <scheme val="minor"/>
    </font>
    <font>
      <sz val="10"/>
      <name val="Calibri"/>
      <family val="2"/>
      <scheme val="minor"/>
    </font>
    <font>
      <b/>
      <sz val="11"/>
      <color indexed="8"/>
      <name val="Calibri"/>
      <family val="2"/>
      <scheme val="minor"/>
    </font>
    <font>
      <sz val="10"/>
      <color theme="1"/>
      <name val="Calibri"/>
      <family val="2"/>
      <scheme val="minor"/>
    </font>
    <font>
      <b/>
      <sz val="11"/>
      <color theme="1"/>
      <name val="Calibri"/>
      <family val="2"/>
      <scheme val="minor"/>
    </font>
    <font>
      <b/>
      <sz val="12"/>
      <name val="Calibri"/>
      <family val="2"/>
      <scheme val="minor"/>
    </font>
    <font>
      <sz val="10"/>
      <name val="MS Sans Serif"/>
      <family val="2"/>
    </font>
    <font>
      <b/>
      <sz val="14"/>
      <name val="Calibri"/>
      <family val="2"/>
      <scheme val="minor"/>
    </font>
    <font>
      <sz val="12"/>
      <name val="Arial"/>
      <family val="2"/>
    </font>
    <font>
      <sz val="10"/>
      <name val="Arial"/>
      <family val="2"/>
    </font>
    <font>
      <b/>
      <sz val="18"/>
      <name val="Arial"/>
      <family val="2"/>
    </font>
    <font>
      <b/>
      <sz val="12"/>
      <name val="Arial"/>
      <family val="2"/>
    </font>
    <font>
      <sz val="10"/>
      <name val="Arial"/>
      <family val="2"/>
    </font>
    <font>
      <sz val="11"/>
      <color theme="1"/>
      <name val="Calibri"/>
      <family val="2"/>
      <scheme val="minor"/>
    </font>
    <font>
      <i/>
      <sz val="11"/>
      <color theme="1"/>
      <name val="Calibri"/>
      <family val="2"/>
      <scheme val="minor"/>
    </font>
    <font>
      <b/>
      <sz val="12"/>
      <color theme="1"/>
      <name val="Calibri"/>
      <family val="2"/>
      <scheme val="minor"/>
    </font>
    <font>
      <sz val="10"/>
      <name val="Calibri"/>
      <family val="2"/>
    </font>
    <font>
      <sz val="10"/>
      <color theme="1"/>
      <name val="Arial"/>
      <family val="2"/>
    </font>
    <font>
      <b/>
      <i/>
      <sz val="11"/>
      <color theme="1"/>
      <name val="Calibri"/>
      <family val="2"/>
      <scheme val="minor"/>
    </font>
    <font>
      <b/>
      <sz val="14"/>
      <color theme="1"/>
      <name val="Calibri"/>
      <family val="2"/>
      <scheme val="minor"/>
    </font>
    <font>
      <i/>
      <sz val="10"/>
      <color theme="1"/>
      <name val="Calibri"/>
      <family val="2"/>
      <scheme val="minor"/>
    </font>
    <font>
      <b/>
      <sz val="10"/>
      <color theme="1"/>
      <name val="Calibri"/>
      <family val="2"/>
      <scheme val="minor"/>
    </font>
    <font>
      <b/>
      <i/>
      <sz val="10"/>
      <name val="Calibri"/>
      <family val="2"/>
      <scheme val="minor"/>
    </font>
    <font>
      <b/>
      <i/>
      <sz val="10"/>
      <color theme="1"/>
      <name val="Calibri"/>
      <family val="2"/>
      <scheme val="minor"/>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sz val="10"/>
      <color rgb="FF000000"/>
      <name val="Calibri"/>
      <family val="2"/>
      <scheme val="minor"/>
    </font>
    <font>
      <u/>
      <sz val="10"/>
      <color theme="10"/>
      <name val="Arial"/>
      <family val="2"/>
    </font>
    <font>
      <sz val="11"/>
      <color rgb="FFFF0000"/>
      <name val="Calibri"/>
      <family val="2"/>
      <scheme val="minor"/>
    </font>
    <font>
      <sz val="10"/>
      <color rgb="FFFF0000"/>
      <name val="Calibri"/>
      <family val="2"/>
      <scheme val="minor"/>
    </font>
    <font>
      <b/>
      <sz val="11"/>
      <color rgb="FFFF0000"/>
      <name val="Calibri"/>
      <family val="2"/>
      <scheme val="minor"/>
    </font>
    <font>
      <b/>
      <sz val="10"/>
      <color rgb="FFFF0000"/>
      <name val="Calibri"/>
      <family val="2"/>
      <scheme val="minor"/>
    </font>
    <font>
      <sz val="9"/>
      <color indexed="81"/>
      <name val="Tahoma"/>
      <family val="2"/>
    </font>
    <font>
      <b/>
      <sz val="9"/>
      <color indexed="81"/>
      <name val="Tahoma"/>
      <family val="2"/>
    </font>
    <font>
      <sz val="10"/>
      <color rgb="FF3E3E3E"/>
      <name val="Verdana"/>
      <family val="2"/>
    </font>
    <font>
      <u/>
      <sz val="10"/>
      <color theme="10"/>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right/>
      <top style="thin">
        <color indexed="64"/>
      </top>
      <bottom style="double">
        <color indexed="64"/>
      </bottom>
      <diagonal/>
    </border>
  </borders>
  <cellStyleXfs count="29">
    <xf numFmtId="0" fontId="0" fillId="0" borderId="0"/>
    <xf numFmtId="0" fontId="10" fillId="0" borderId="0"/>
    <xf numFmtId="0" fontId="12" fillId="0" borderId="0" applyNumberFormat="0" applyFill="0" applyBorder="0" applyAlignment="0" applyProtection="0"/>
    <xf numFmtId="0" fontId="13" fillId="0" borderId="0"/>
    <xf numFmtId="2" fontId="12" fillId="0" borderId="0" applyFill="0" applyBorder="0" applyAlignment="0" applyProtection="0"/>
    <xf numFmtId="168" fontId="12" fillId="0" borderId="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166" fontId="12" fillId="0" borderId="0" applyFill="0" applyBorder="0" applyAlignment="0" applyProtection="0"/>
    <xf numFmtId="167" fontId="12" fillId="0" borderId="0" applyFill="0" applyBorder="0" applyAlignment="0" applyProtection="0"/>
    <xf numFmtId="167" fontId="12" fillId="0" borderId="0" applyFill="0" applyBorder="0" applyProtection="0">
      <alignment horizontal="right"/>
    </xf>
    <xf numFmtId="0" fontId="12" fillId="0" borderId="1" applyNumberFormat="0" applyFill="0" applyAlignment="0" applyProtection="0"/>
    <xf numFmtId="0" fontId="16" fillId="0" borderId="0"/>
    <xf numFmtId="170" fontId="13" fillId="0" borderId="0" applyFont="0" applyFill="0" applyBorder="0" applyAlignment="0" applyProtection="0"/>
    <xf numFmtId="9" fontId="13" fillId="0" borderId="0" applyFont="0" applyFill="0" applyBorder="0" applyAlignment="0" applyProtection="0"/>
    <xf numFmtId="44" fontId="21" fillId="0" borderId="0" applyFont="0" applyFill="0" applyBorder="0" applyAlignment="0" applyProtection="0"/>
    <xf numFmtId="0" fontId="13" fillId="0" borderId="0"/>
    <xf numFmtId="172" fontId="28" fillId="0" borderId="0" applyProtection="0"/>
    <xf numFmtId="172" fontId="12" fillId="0" borderId="0"/>
    <xf numFmtId="172" fontId="33" fillId="0" borderId="0" applyProtection="0"/>
    <xf numFmtId="172" fontId="31" fillId="0" borderId="0" applyProtection="0"/>
    <xf numFmtId="172" fontId="30" fillId="0" borderId="0" applyProtection="0"/>
    <xf numFmtId="172" fontId="29" fillId="0" borderId="0" applyProtection="0"/>
    <xf numFmtId="172" fontId="12" fillId="0" borderId="0" applyProtection="0"/>
    <xf numFmtId="172" fontId="32" fillId="0" borderId="0" applyProtection="0"/>
    <xf numFmtId="0" fontId="13" fillId="0" borderId="0"/>
    <xf numFmtId="0" fontId="1" fillId="0" borderId="0"/>
    <xf numFmtId="0" fontId="13" fillId="0" borderId="0"/>
    <xf numFmtId="0" fontId="35" fillId="0" borderId="0" applyNumberFormat="0" applyFill="0" applyBorder="0" applyAlignment="0" applyProtection="0"/>
  </cellStyleXfs>
  <cellXfs count="23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164" fontId="5" fillId="0" borderId="0" xfId="0" applyNumberFormat="1" applyFont="1"/>
    <xf numFmtId="164" fontId="4" fillId="0" borderId="0" xfId="0" applyNumberFormat="1" applyFont="1"/>
    <xf numFmtId="0" fontId="5" fillId="0" borderId="0" xfId="0" applyFont="1" applyFill="1"/>
    <xf numFmtId="0" fontId="5" fillId="0" borderId="0" xfId="0" applyFont="1" applyAlignment="1">
      <alignment horizontal="left"/>
    </xf>
    <xf numFmtId="0" fontId="5" fillId="0" borderId="0" xfId="0" applyFont="1" applyFill="1" applyBorder="1" applyAlignment="1"/>
    <xf numFmtId="0" fontId="5" fillId="0" borderId="0" xfId="0" applyFont="1" applyFill="1" applyBorder="1"/>
    <xf numFmtId="1" fontId="5" fillId="0" borderId="0" xfId="0" applyNumberFormat="1" applyFont="1" applyFill="1" applyBorder="1" applyAlignment="1">
      <alignment horizontal="right"/>
    </xf>
    <xf numFmtId="165" fontId="4" fillId="0" borderId="0" xfId="0" applyNumberFormat="1" applyFont="1"/>
    <xf numFmtId="0" fontId="5" fillId="0" borderId="0" xfId="0" applyFont="1" applyAlignment="1">
      <alignment horizontal="right"/>
    </xf>
    <xf numFmtId="0" fontId="2" fillId="2" borderId="0" xfId="0" applyFont="1" applyFill="1"/>
    <xf numFmtId="0" fontId="4" fillId="2" borderId="0" xfId="0" applyFont="1" applyFill="1"/>
    <xf numFmtId="0" fontId="3" fillId="2" borderId="0" xfId="0" applyFont="1" applyFill="1"/>
    <xf numFmtId="0" fontId="5" fillId="2" borderId="0" xfId="0" applyFont="1" applyFill="1"/>
    <xf numFmtId="0" fontId="7" fillId="0" borderId="0" xfId="0" applyFont="1"/>
    <xf numFmtId="164" fontId="4" fillId="0" borderId="0" xfId="0" applyNumberFormat="1" applyFont="1" applyFill="1" applyBorder="1"/>
    <xf numFmtId="0" fontId="9" fillId="0" borderId="0" xfId="0" applyFont="1"/>
    <xf numFmtId="0" fontId="5" fillId="0" borderId="0" xfId="1" applyFont="1" applyAlignment="1">
      <alignment wrapText="1"/>
    </xf>
    <xf numFmtId="0" fontId="4" fillId="0" borderId="0" xfId="1" applyFont="1" applyAlignment="1">
      <alignment wrapText="1"/>
    </xf>
    <xf numFmtId="0" fontId="2" fillId="0" borderId="0" xfId="0" applyFont="1" applyFill="1"/>
    <xf numFmtId="0" fontId="10" fillId="0" borderId="0" xfId="1"/>
    <xf numFmtId="0" fontId="2" fillId="0" borderId="0" xfId="1" applyFont="1"/>
    <xf numFmtId="0" fontId="2" fillId="0" borderId="0" xfId="1" applyFont="1" applyAlignment="1">
      <alignment horizontal="right"/>
    </xf>
    <xf numFmtId="0" fontId="2" fillId="0" borderId="0" xfId="1" applyFont="1" applyAlignment="1">
      <alignment horizontal="left"/>
    </xf>
    <xf numFmtId="0" fontId="11" fillId="0" borderId="0" xfId="1" applyFont="1" applyAlignment="1">
      <alignment horizontal="left"/>
    </xf>
    <xf numFmtId="0" fontId="4" fillId="2" borderId="0" xfId="1" applyFont="1" applyFill="1"/>
    <xf numFmtId="164" fontId="4" fillId="2" borderId="0" xfId="1" applyNumberFormat="1" applyFont="1" applyFill="1"/>
    <xf numFmtId="0" fontId="4" fillId="2" borderId="0" xfId="1" applyFont="1" applyFill="1" applyAlignment="1">
      <alignment horizontal="right"/>
    </xf>
    <xf numFmtId="0" fontId="4" fillId="2" borderId="0" xfId="1" applyFont="1" applyFill="1" applyAlignment="1">
      <alignment horizontal="left"/>
    </xf>
    <xf numFmtId="0" fontId="3" fillId="2" borderId="0" xfId="1" applyFont="1" applyFill="1"/>
    <xf numFmtId="0" fontId="9" fillId="2" borderId="0" xfId="1" applyFont="1" applyFill="1" applyAlignment="1">
      <alignment horizontal="left"/>
    </xf>
    <xf numFmtId="0" fontId="9" fillId="2" borderId="0" xfId="1" applyFont="1" applyFill="1"/>
    <xf numFmtId="165" fontId="9" fillId="2" borderId="0" xfId="0" applyNumberFormat="1" applyFont="1" applyFill="1"/>
    <xf numFmtId="0" fontId="4" fillId="0" borderId="0" xfId="1" applyFont="1" applyFill="1"/>
    <xf numFmtId="0" fontId="5" fillId="0" borderId="0" xfId="12" applyFont="1" applyFill="1" applyBorder="1"/>
    <xf numFmtId="165" fontId="5" fillId="0" borderId="0" xfId="12" applyNumberFormat="1" applyFont="1" applyFill="1" applyBorder="1" applyAlignment="1">
      <alignment horizontal="right" wrapText="1"/>
    </xf>
    <xf numFmtId="171" fontId="5" fillId="0" borderId="0" xfId="12" quotePrefix="1" applyNumberFormat="1" applyFont="1" applyFill="1" applyBorder="1" applyAlignment="1">
      <alignment horizontal="right" wrapText="1"/>
    </xf>
    <xf numFmtId="0" fontId="17" fillId="0" borderId="0" xfId="0" applyFont="1"/>
    <xf numFmtId="0" fontId="8" fillId="0" borderId="0" xfId="0" applyFont="1"/>
    <xf numFmtId="0" fontId="9" fillId="2" borderId="0" xfId="0" applyFont="1" applyFill="1"/>
    <xf numFmtId="164" fontId="9" fillId="2" borderId="0" xfId="0" applyNumberFormat="1" applyFont="1" applyFill="1"/>
    <xf numFmtId="0" fontId="17" fillId="0" borderId="0" xfId="0" applyFont="1" applyFill="1" applyBorder="1" applyAlignment="1">
      <alignment horizontal="right" vertical="center" wrapText="1"/>
    </xf>
    <xf numFmtId="0" fontId="8" fillId="0" borderId="0" xfId="0" applyFont="1" applyFill="1" applyBorder="1" applyAlignment="1">
      <alignment vertical="center" wrapText="1"/>
    </xf>
    <xf numFmtId="167" fontId="5" fillId="0" borderId="0" xfId="0" applyNumberFormat="1" applyFont="1" applyFill="1"/>
    <xf numFmtId="167" fontId="2" fillId="0" borderId="0" xfId="0" applyNumberFormat="1" applyFont="1" applyFill="1"/>
    <xf numFmtId="0" fontId="17" fillId="0" borderId="0" xfId="0" applyFont="1" applyAlignment="1">
      <alignment horizontal="left"/>
    </xf>
    <xf numFmtId="0" fontId="8" fillId="0" borderId="0" xfId="0" applyFont="1" applyBorder="1" applyAlignment="1">
      <alignment horizontal="left" vertical="center" wrapText="1"/>
    </xf>
    <xf numFmtId="0" fontId="3" fillId="0" borderId="0" xfId="0" applyFont="1" applyAlignment="1">
      <alignment horizontal="left"/>
    </xf>
    <xf numFmtId="0" fontId="17" fillId="0" borderId="0" xfId="0" applyFont="1" applyBorder="1" applyAlignment="1">
      <alignment horizontal="left" vertical="center" wrapText="1"/>
    </xf>
    <xf numFmtId="167" fontId="17" fillId="0" borderId="0" xfId="0" applyNumberFormat="1" applyFont="1"/>
    <xf numFmtId="9" fontId="3" fillId="0" borderId="0" xfId="0" applyNumberFormat="1" applyFont="1" applyAlignment="1"/>
    <xf numFmtId="49" fontId="3" fillId="0" borderId="0" xfId="0" applyNumberFormat="1" applyFont="1" applyAlignment="1">
      <alignment vertical="top" wrapText="1"/>
    </xf>
    <xf numFmtId="9" fontId="3" fillId="0" borderId="0" xfId="0" applyNumberFormat="1" applyFont="1" applyAlignment="1">
      <alignment vertical="top" wrapText="1"/>
    </xf>
    <xf numFmtId="0" fontId="8" fillId="0" borderId="0" xfId="0" applyFont="1" applyAlignment="1">
      <alignment vertical="center"/>
    </xf>
    <xf numFmtId="0" fontId="18" fillId="0" borderId="0" xfId="0" quotePrefix="1" applyFont="1"/>
    <xf numFmtId="167" fontId="18" fillId="0" borderId="0" xfId="0" applyNumberFormat="1" applyFont="1"/>
    <xf numFmtId="0" fontId="18" fillId="0" borderId="0" xfId="0" applyFont="1"/>
    <xf numFmtId="0" fontId="19" fillId="0" borderId="0" xfId="0" applyFont="1"/>
    <xf numFmtId="167" fontId="19" fillId="0" borderId="0" xfId="0" applyNumberFormat="1" applyFont="1"/>
    <xf numFmtId="165" fontId="2" fillId="0" borderId="0" xfId="0" applyNumberFormat="1" applyFont="1"/>
    <xf numFmtId="165" fontId="4" fillId="2" borderId="0" xfId="0" applyNumberFormat="1" applyFont="1" applyFill="1"/>
    <xf numFmtId="165" fontId="2" fillId="2" borderId="0" xfId="0" applyNumberFormat="1" applyFont="1" applyFill="1"/>
    <xf numFmtId="165" fontId="5" fillId="0" borderId="0" xfId="0" applyNumberFormat="1" applyFont="1"/>
    <xf numFmtId="165" fontId="4" fillId="2" borderId="0" xfId="1" applyNumberFormat="1" applyFont="1" applyFill="1"/>
    <xf numFmtId="165" fontId="3" fillId="2" borderId="0" xfId="0" applyNumberFormat="1" applyFont="1" applyFill="1"/>
    <xf numFmtId="165" fontId="5" fillId="0" borderId="0" xfId="0" applyNumberFormat="1" applyFont="1" applyFill="1" applyBorder="1"/>
    <xf numFmtId="165" fontId="3" fillId="2" borderId="0" xfId="1" applyNumberFormat="1" applyFont="1" applyFill="1"/>
    <xf numFmtId="164" fontId="2" fillId="0" borderId="0" xfId="0" applyNumberFormat="1" applyFont="1"/>
    <xf numFmtId="164" fontId="5" fillId="0" borderId="0" xfId="0" applyNumberFormat="1" applyFont="1" applyFill="1"/>
    <xf numFmtId="164" fontId="2" fillId="0" borderId="0" xfId="0" applyNumberFormat="1" applyFont="1" applyFill="1"/>
    <xf numFmtId="164" fontId="3" fillId="0" borderId="0" xfId="0" applyNumberFormat="1" applyFont="1"/>
    <xf numFmtId="164" fontId="17" fillId="0" borderId="0" xfId="0" applyNumberFormat="1" applyFont="1"/>
    <xf numFmtId="0" fontId="2" fillId="0" borderId="0" xfId="0" applyFont="1" applyAlignment="1">
      <alignment horizontal="right"/>
    </xf>
    <xf numFmtId="0" fontId="4" fillId="0" borderId="0" xfId="0" applyFont="1" applyAlignment="1">
      <alignment horizontal="right"/>
    </xf>
    <xf numFmtId="0" fontId="5" fillId="0" borderId="0" xfId="0" applyFont="1" applyFill="1" applyAlignment="1">
      <alignment horizontal="right"/>
    </xf>
    <xf numFmtId="0" fontId="2" fillId="0" borderId="0" xfId="0" applyFont="1" applyFill="1" applyAlignment="1">
      <alignment horizontal="right"/>
    </xf>
    <xf numFmtId="0" fontId="7" fillId="0" borderId="0" xfId="0" applyFont="1" applyAlignment="1">
      <alignment horizontal="right"/>
    </xf>
    <xf numFmtId="0" fontId="17" fillId="0" borderId="0" xfId="0" applyFont="1" applyAlignment="1">
      <alignment horizontal="right"/>
    </xf>
    <xf numFmtId="167" fontId="5" fillId="0" borderId="0" xfId="0" applyNumberFormat="1" applyFont="1"/>
    <xf numFmtId="169" fontId="5" fillId="0" borderId="0" xfId="0" applyNumberFormat="1" applyFont="1"/>
    <xf numFmtId="167" fontId="2" fillId="0" borderId="0" xfId="0" applyNumberFormat="1" applyFont="1"/>
    <xf numFmtId="0" fontId="4" fillId="0" borderId="0" xfId="0" applyFont="1" applyAlignment="1">
      <alignment horizontal="left" vertical="top"/>
    </xf>
    <xf numFmtId="0" fontId="3" fillId="0" borderId="0" xfId="0" quotePrefix="1" applyFont="1"/>
    <xf numFmtId="0" fontId="4" fillId="0" borderId="0" xfId="0" applyFont="1" applyAlignment="1">
      <alignment horizontal="left"/>
    </xf>
    <xf numFmtId="0" fontId="3" fillId="0" borderId="0" xfId="0" applyFont="1" applyAlignment="1">
      <alignment vertical="top" wrapText="1"/>
    </xf>
    <xf numFmtId="0" fontId="17" fillId="0" borderId="0" xfId="0" applyFont="1" applyAlignment="1">
      <alignment wrapText="1"/>
    </xf>
    <xf numFmtId="167" fontId="8" fillId="0" borderId="0" xfId="0" applyNumberFormat="1" applyFont="1" applyFill="1" applyBorder="1" applyAlignment="1">
      <alignment horizontal="right" vertical="center" wrapText="1"/>
    </xf>
    <xf numFmtId="169" fontId="17" fillId="0" borderId="0" xfId="0" applyNumberFormat="1" applyFont="1" applyFill="1" applyBorder="1" applyAlignment="1">
      <alignment horizontal="right" vertical="center" wrapText="1"/>
    </xf>
    <xf numFmtId="0" fontId="4" fillId="0" borderId="0" xfId="0" applyFont="1" applyFill="1"/>
    <xf numFmtId="0" fontId="7" fillId="0" borderId="0" xfId="0" applyFont="1" applyFill="1" applyBorder="1"/>
    <xf numFmtId="164" fontId="7" fillId="0" borderId="0" xfId="0" applyNumberFormat="1" applyFont="1" applyFill="1" applyBorder="1"/>
    <xf numFmtId="164" fontId="7" fillId="0" borderId="0" xfId="15" applyNumberFormat="1" applyFont="1" applyFill="1" applyBorder="1"/>
    <xf numFmtId="164" fontId="8" fillId="0" borderId="0" xfId="0" applyNumberFormat="1" applyFont="1"/>
    <xf numFmtId="0" fontId="11" fillId="0" borderId="0" xfId="0" applyFont="1"/>
    <xf numFmtId="0" fontId="23" fillId="0" borderId="0" xfId="0" applyFont="1" applyAlignment="1">
      <alignment horizontal="left"/>
    </xf>
    <xf numFmtId="0" fontId="8" fillId="0" borderId="0" xfId="0" applyFont="1" applyAlignment="1">
      <alignment horizontal="right"/>
    </xf>
    <xf numFmtId="167" fontId="24" fillId="0" borderId="0" xfId="0" applyNumberFormat="1" applyFont="1"/>
    <xf numFmtId="0" fontId="24" fillId="0" borderId="0" xfId="0" applyFont="1"/>
    <xf numFmtId="0" fontId="23" fillId="0" borderId="0" xfId="0" applyFont="1"/>
    <xf numFmtId="0" fontId="4" fillId="0" borderId="0" xfId="0" applyFont="1" applyFill="1" applyBorder="1"/>
    <xf numFmtId="165" fontId="4" fillId="0" borderId="0" xfId="0" applyNumberFormat="1" applyFont="1" applyFill="1" applyBorder="1"/>
    <xf numFmtId="1" fontId="4" fillId="0" borderId="0" xfId="0" applyNumberFormat="1" applyFont="1" applyFill="1" applyBorder="1" applyAlignment="1">
      <alignment horizontal="right"/>
    </xf>
    <xf numFmtId="0" fontId="25" fillId="0" borderId="0" xfId="0" applyFont="1"/>
    <xf numFmtId="167" fontId="7" fillId="0" borderId="0" xfId="0" applyNumberFormat="1" applyFont="1"/>
    <xf numFmtId="167" fontId="25" fillId="0" borderId="0" xfId="0" applyNumberFormat="1" applyFont="1"/>
    <xf numFmtId="169" fontId="7" fillId="0" borderId="0" xfId="0" applyNumberFormat="1" applyFont="1"/>
    <xf numFmtId="169" fontId="25" fillId="0" borderId="0" xfId="0" applyNumberFormat="1" applyFont="1"/>
    <xf numFmtId="169" fontId="7" fillId="0" borderId="0" xfId="0" quotePrefix="1" applyNumberFormat="1" applyFont="1" applyAlignment="1">
      <alignment horizontal="right"/>
    </xf>
    <xf numFmtId="0" fontId="7" fillId="0" borderId="0" xfId="0" applyFont="1" applyFill="1" applyBorder="1" applyAlignment="1">
      <alignment horizontal="left"/>
    </xf>
    <xf numFmtId="0" fontId="26" fillId="0" borderId="0" xfId="0" applyFont="1"/>
    <xf numFmtId="0" fontId="27" fillId="0" borderId="0" xfId="0" applyFont="1" applyFill="1" applyBorder="1" applyAlignment="1">
      <alignment horizontal="left"/>
    </xf>
    <xf numFmtId="164" fontId="27" fillId="0" borderId="0" xfId="0" applyNumberFormat="1" applyFont="1" applyFill="1" applyBorder="1"/>
    <xf numFmtId="164" fontId="26" fillId="0" borderId="0" xfId="0" applyNumberFormat="1" applyFont="1" applyFill="1" applyBorder="1"/>
    <xf numFmtId="0" fontId="11" fillId="0" borderId="0" xfId="0" applyFont="1" applyAlignment="1">
      <alignment horizontal="left"/>
    </xf>
    <xf numFmtId="0" fontId="4" fillId="2" borderId="0" xfId="0" applyFont="1" applyFill="1" applyAlignment="1">
      <alignment horizontal="left"/>
    </xf>
    <xf numFmtId="0" fontId="7" fillId="0" borderId="0" xfId="0" applyFont="1" applyAlignment="1">
      <alignment horizontal="left"/>
    </xf>
    <xf numFmtId="0" fontId="5" fillId="0" borderId="0" xfId="12" applyFont="1" applyFill="1" applyBorder="1" applyAlignment="1">
      <alignment horizontal="left"/>
    </xf>
    <xf numFmtId="0" fontId="5" fillId="2" borderId="0" xfId="0" applyFont="1" applyFill="1" applyAlignment="1">
      <alignment horizontal="left"/>
    </xf>
    <xf numFmtId="0" fontId="3" fillId="0" borderId="0" xfId="0" applyFont="1" applyFill="1" applyBorder="1" applyAlignment="1">
      <alignment horizontal="left"/>
    </xf>
    <xf numFmtId="0" fontId="9" fillId="2" borderId="0" xfId="0" applyFont="1" applyFill="1" applyAlignment="1">
      <alignment horizontal="left"/>
    </xf>
    <xf numFmtId="0" fontId="5" fillId="0" borderId="0" xfId="1" applyFont="1"/>
    <xf numFmtId="164" fontId="5" fillId="0" borderId="0" xfId="1" applyNumberFormat="1" applyFont="1"/>
    <xf numFmtId="0" fontId="10" fillId="0" borderId="0" xfId="1"/>
    <xf numFmtId="0" fontId="2" fillId="2" borderId="0" xfId="1" applyFont="1" applyFill="1" applyAlignment="1">
      <alignment horizontal="right"/>
    </xf>
    <xf numFmtId="0" fontId="2" fillId="0" borderId="0" xfId="0" applyFont="1" applyFill="1" applyBorder="1"/>
    <xf numFmtId="0" fontId="2" fillId="2" borderId="0" xfId="1" applyFont="1" applyFill="1"/>
    <xf numFmtId="0" fontId="5" fillId="2" borderId="0" xfId="1" applyFont="1" applyFill="1"/>
    <xf numFmtId="165" fontId="2" fillId="0" borderId="0" xfId="1" applyNumberFormat="1" applyFont="1"/>
    <xf numFmtId="0" fontId="5" fillId="0" borderId="0" xfId="1" applyFont="1"/>
    <xf numFmtId="0" fontId="5" fillId="0" borderId="0" xfId="1" applyFont="1"/>
    <xf numFmtId="164" fontId="5" fillId="0" borderId="0" xfId="1" applyNumberFormat="1" applyFont="1"/>
    <xf numFmtId="0" fontId="34" fillId="0" borderId="0" xfId="0" applyFont="1" applyFill="1" applyBorder="1" applyAlignment="1">
      <alignment horizontal="left" vertical="center" wrapText="1"/>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5" fontId="7" fillId="0" borderId="0" xfId="0" applyNumberFormat="1" applyFont="1" applyFill="1" applyBorder="1" applyAlignment="1">
      <alignment horizontal="right" wrapText="1"/>
    </xf>
    <xf numFmtId="164" fontId="5" fillId="0" borderId="0" xfId="16" applyNumberFormat="1" applyFont="1" applyFill="1" applyBorder="1"/>
    <xf numFmtId="164" fontId="2" fillId="0" borderId="0" xfId="16" applyNumberFormat="1" applyFont="1" applyFill="1"/>
    <xf numFmtId="0" fontId="7" fillId="0" borderId="0" xfId="0" applyFont="1"/>
    <xf numFmtId="165" fontId="5" fillId="0" borderId="0" xfId="0" applyNumberFormat="1" applyFont="1" applyFill="1"/>
    <xf numFmtId="165" fontId="2" fillId="0" borderId="0" xfId="0" applyNumberFormat="1" applyFont="1" applyFill="1"/>
    <xf numFmtId="0" fontId="1" fillId="0" borderId="0" xfId="0" applyFont="1" applyAlignment="1">
      <alignment vertical="center"/>
    </xf>
    <xf numFmtId="0" fontId="1" fillId="0" borderId="0" xfId="0" applyFont="1"/>
    <xf numFmtId="2" fontId="8" fillId="0" borderId="0" xfId="0" applyNumberFormat="1" applyFont="1"/>
    <xf numFmtId="0" fontId="22"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8" fillId="2" borderId="0" xfId="0" applyFont="1" applyFill="1"/>
    <xf numFmtId="0" fontId="17" fillId="2" borderId="0" xfId="0" applyFont="1" applyFill="1" applyBorder="1" applyAlignment="1">
      <alignment horizontal="right" vertical="center" wrapText="1"/>
    </xf>
    <xf numFmtId="0" fontId="17" fillId="2" borderId="0" xfId="0" applyFont="1" applyFill="1"/>
    <xf numFmtId="0" fontId="2" fillId="0" borderId="0" xfId="0" applyFont="1" applyAlignment="1">
      <alignment horizontal="left"/>
    </xf>
    <xf numFmtId="0" fontId="24" fillId="0" borderId="0" xfId="0" quotePrefix="1" applyFont="1"/>
    <xf numFmtId="2" fontId="24" fillId="0" borderId="0" xfId="0" applyNumberFormat="1" applyFont="1"/>
    <xf numFmtId="0" fontId="3" fillId="0" borderId="0" xfId="0" applyFont="1" applyAlignment="1">
      <alignment wrapText="1"/>
    </xf>
    <xf numFmtId="0" fontId="3" fillId="0" borderId="0" xfId="0" applyFont="1" applyAlignment="1"/>
    <xf numFmtId="0" fontId="1" fillId="0" borderId="0" xfId="0" applyFont="1" applyAlignment="1"/>
    <xf numFmtId="0" fontId="1" fillId="0" borderId="0" xfId="0" applyFont="1" applyAlignment="1">
      <alignment wrapText="1"/>
    </xf>
    <xf numFmtId="0" fontId="17" fillId="0" borderId="0" xfId="0" quotePrefix="1" applyFont="1" applyAlignment="1">
      <alignment wrapText="1"/>
    </xf>
    <xf numFmtId="0" fontId="1" fillId="0" borderId="0" xfId="0" quotePrefix="1" applyFont="1" applyAlignment="1">
      <alignment wrapText="1"/>
    </xf>
    <xf numFmtId="167" fontId="1" fillId="0" borderId="0" xfId="0" applyNumberFormat="1" applyFont="1"/>
    <xf numFmtId="2" fontId="1" fillId="0" borderId="0" xfId="0" applyNumberFormat="1" applyFont="1"/>
    <xf numFmtId="1" fontId="1" fillId="0" borderId="0" xfId="0" applyNumberFormat="1" applyFont="1"/>
    <xf numFmtId="0" fontId="37" fillId="0" borderId="0" xfId="0" applyFont="1"/>
    <xf numFmtId="0" fontId="38" fillId="0" borderId="0" xfId="0" applyFont="1"/>
    <xf numFmtId="0" fontId="39" fillId="0" borderId="0" xfId="0" applyFont="1"/>
    <xf numFmtId="1" fontId="5" fillId="0" borderId="0" xfId="1" applyNumberFormat="1" applyFont="1"/>
    <xf numFmtId="0" fontId="5" fillId="0" borderId="0" xfId="1" applyFont="1" applyFill="1"/>
    <xf numFmtId="0" fontId="5" fillId="0" borderId="0" xfId="0" applyFont="1" applyFill="1" applyAlignment="1">
      <alignment horizontal="left"/>
    </xf>
    <xf numFmtId="0" fontId="6" fillId="0" borderId="0" xfId="0" applyFont="1" applyFill="1" applyBorder="1" applyAlignment="1">
      <alignment horizontal="left" vertical="center" wrapText="1"/>
    </xf>
    <xf numFmtId="0" fontId="5" fillId="0" borderId="0" xfId="0" applyFont="1" applyFill="1" applyBorder="1" applyAlignment="1">
      <alignment horizontal="left"/>
    </xf>
    <xf numFmtId="0" fontId="4" fillId="0" borderId="0" xfId="0" applyFont="1" applyFill="1" applyBorder="1" applyAlignment="1">
      <alignment horizontal="left"/>
    </xf>
    <xf numFmtId="164" fontId="5" fillId="0" borderId="0" xfId="1" applyNumberFormat="1" applyFont="1" applyFill="1"/>
    <xf numFmtId="169" fontId="5" fillId="0" borderId="0" xfId="1" applyNumberFormat="1" applyFont="1" applyFill="1"/>
    <xf numFmtId="0" fontId="3" fillId="0" borderId="0" xfId="0" applyFont="1" applyFill="1" applyAlignment="1">
      <alignment horizontal="right"/>
    </xf>
    <xf numFmtId="164" fontId="4" fillId="0" borderId="0" xfId="0" applyNumberFormat="1" applyFont="1" applyFill="1"/>
    <xf numFmtId="164" fontId="7" fillId="0" borderId="0" xfId="0" applyNumberFormat="1" applyFont="1" applyFill="1"/>
    <xf numFmtId="165" fontId="4" fillId="0" borderId="0" xfId="0" applyNumberFormat="1" applyFont="1" applyFill="1"/>
    <xf numFmtId="0" fontId="4" fillId="0" borderId="0" xfId="0" applyFont="1" applyFill="1" applyAlignment="1">
      <alignment horizontal="right"/>
    </xf>
    <xf numFmtId="0" fontId="5" fillId="0" borderId="0" xfId="1" applyFont="1" applyFill="1" applyAlignment="1">
      <alignment horizontal="right"/>
    </xf>
    <xf numFmtId="1" fontId="7" fillId="0" borderId="0" xfId="0" applyNumberFormat="1" applyFont="1" applyFill="1"/>
    <xf numFmtId="0" fontId="7" fillId="0" borderId="0" xfId="0" applyFont="1" applyFill="1"/>
    <xf numFmtId="0" fontId="4" fillId="0" borderId="0" xfId="0" applyFont="1" applyFill="1" applyAlignment="1">
      <alignment horizontal="left"/>
    </xf>
    <xf numFmtId="165" fontId="8" fillId="0" borderId="0" xfId="0" applyNumberFormat="1" applyFont="1" applyFill="1"/>
    <xf numFmtId="0" fontId="8" fillId="0" borderId="0" xfId="0" applyFont="1" applyFill="1"/>
    <xf numFmtId="0" fontId="26" fillId="0" borderId="0" xfId="0" applyFont="1" applyFill="1" applyAlignment="1">
      <alignment horizontal="left"/>
    </xf>
    <xf numFmtId="0" fontId="26" fillId="0" borderId="0" xfId="0" applyFont="1" applyFill="1"/>
    <xf numFmtId="164" fontId="26" fillId="0" borderId="0" xfId="0" applyNumberFormat="1" applyFont="1" applyFill="1"/>
    <xf numFmtId="0" fontId="5" fillId="0" borderId="0" xfId="0" applyFont="1" applyAlignment="1">
      <alignment vertical="center" wrapText="1"/>
    </xf>
    <xf numFmtId="0" fontId="20" fillId="0" borderId="0" xfId="0" applyFont="1" applyAlignment="1">
      <alignment vertical="center" wrapText="1"/>
    </xf>
    <xf numFmtId="0" fontId="7" fillId="0" borderId="0" xfId="0" applyFont="1" applyFill="1" applyAlignment="1">
      <alignment horizontal="left"/>
    </xf>
    <xf numFmtId="165" fontId="7" fillId="0" borderId="0" xfId="0" applyNumberFormat="1" applyFont="1" applyFill="1"/>
    <xf numFmtId="169" fontId="7" fillId="0" borderId="0" xfId="0" applyNumberFormat="1" applyFont="1" applyFill="1"/>
    <xf numFmtId="165" fontId="17" fillId="0" borderId="0" xfId="0" applyNumberFormat="1" applyFont="1"/>
    <xf numFmtId="165" fontId="39" fillId="2" borderId="0" xfId="0" applyNumberFormat="1" applyFont="1" applyFill="1"/>
    <xf numFmtId="0" fontId="36" fillId="0" borderId="0" xfId="0" applyFont="1" applyAlignment="1">
      <alignment horizontal="left"/>
    </xf>
    <xf numFmtId="0" fontId="36" fillId="0" borderId="0" xfId="0" applyFont="1"/>
    <xf numFmtId="169" fontId="17" fillId="0" borderId="0" xfId="0" applyNumberFormat="1" applyFont="1"/>
    <xf numFmtId="169" fontId="2" fillId="0" borderId="0" xfId="0" applyNumberFormat="1" applyFont="1"/>
    <xf numFmtId="0" fontId="39" fillId="0" borderId="0" xfId="0" applyFont="1" applyFill="1" applyAlignment="1">
      <alignment horizontal="right"/>
    </xf>
    <xf numFmtId="164" fontId="39" fillId="0" borderId="0" xfId="0" applyNumberFormat="1" applyFont="1" applyFill="1"/>
    <xf numFmtId="0" fontId="39" fillId="0" borderId="0" xfId="0" applyFont="1" applyFill="1"/>
    <xf numFmtId="0" fontId="20" fillId="0" borderId="0" xfId="1" applyFont="1" applyFill="1" applyAlignment="1">
      <alignment horizontal="left"/>
    </xf>
    <xf numFmtId="0" fontId="20" fillId="0" borderId="0" xfId="1" applyFont="1" applyFill="1"/>
    <xf numFmtId="165" fontId="20" fillId="0" borderId="0" xfId="18" applyNumberFormat="1" applyFont="1" applyFill="1"/>
    <xf numFmtId="0" fontId="20" fillId="0" borderId="0" xfId="1" applyFont="1" applyFill="1" applyAlignment="1">
      <alignment horizontal="right"/>
    </xf>
    <xf numFmtId="165" fontId="20" fillId="0" borderId="0" xfId="1" applyNumberFormat="1" applyFont="1" applyFill="1"/>
    <xf numFmtId="165" fontId="20" fillId="0" borderId="0" xfId="3" applyNumberFormat="1" applyFont="1" applyFill="1"/>
    <xf numFmtId="0" fontId="10" fillId="0" borderId="0" xfId="1" applyFont="1" applyFill="1"/>
    <xf numFmtId="165" fontId="10" fillId="0" borderId="0" xfId="1" applyNumberFormat="1" applyFont="1" applyFill="1"/>
    <xf numFmtId="0" fontId="42" fillId="0" borderId="0" xfId="0" applyFont="1"/>
    <xf numFmtId="0" fontId="5" fillId="0" borderId="0" xfId="1" applyFont="1" applyFill="1" applyAlignment="1">
      <alignment horizontal="left"/>
    </xf>
    <xf numFmtId="0" fontId="20" fillId="0" borderId="0" xfId="1" applyFont="1"/>
    <xf numFmtId="165" fontId="20" fillId="0" borderId="0" xfId="1" applyNumberFormat="1" applyFont="1"/>
    <xf numFmtId="165" fontId="5" fillId="0" borderId="0" xfId="0" applyNumberFormat="1" applyFont="1" applyBorder="1"/>
    <xf numFmtId="1" fontId="3" fillId="0" borderId="0" xfId="0" applyNumberFormat="1" applyFont="1"/>
    <xf numFmtId="4" fontId="1" fillId="0" borderId="0" xfId="0" applyNumberFormat="1" applyFont="1"/>
    <xf numFmtId="0" fontId="1" fillId="0" borderId="0" xfId="0" quotePrefix="1" applyFont="1" applyAlignment="1">
      <alignment horizontal="left" vertical="center" wrapText="1"/>
    </xf>
    <xf numFmtId="169" fontId="3" fillId="0" borderId="0" xfId="0" applyNumberFormat="1" applyFont="1"/>
    <xf numFmtId="169" fontId="3" fillId="0" borderId="0" xfId="1" applyNumberFormat="1" applyFont="1"/>
    <xf numFmtId="169" fontId="1" fillId="0" borderId="0" xfId="0" applyNumberFormat="1" applyFont="1"/>
    <xf numFmtId="0" fontId="3" fillId="0" borderId="0" xfId="0" applyFont="1" applyAlignment="1">
      <alignment vertical="justify" wrapText="1"/>
    </xf>
    <xf numFmtId="169" fontId="8" fillId="0" borderId="0" xfId="0" applyNumberFormat="1" applyFont="1"/>
    <xf numFmtId="0" fontId="43" fillId="0" borderId="0" xfId="28" applyFont="1"/>
    <xf numFmtId="2" fontId="7" fillId="0" borderId="0" xfId="0" applyNumberFormat="1" applyFont="1"/>
    <xf numFmtId="0" fontId="1" fillId="0" borderId="0" xfId="0" quotePrefix="1" applyFont="1" applyAlignment="1">
      <alignment horizontal="left" vertical="center" wrapText="1"/>
    </xf>
    <xf numFmtId="0" fontId="3" fillId="0" borderId="0" xfId="0" applyFont="1" applyAlignment="1">
      <alignment wrapText="1"/>
    </xf>
    <xf numFmtId="0" fontId="1" fillId="0" borderId="0" xfId="0" quotePrefix="1" applyFont="1" applyAlignment="1">
      <alignment vertical="center" wrapText="1"/>
    </xf>
    <xf numFmtId="0" fontId="3" fillId="0" borderId="0" xfId="0" applyFont="1" applyAlignment="1"/>
    <xf numFmtId="0" fontId="1" fillId="0" borderId="0" xfId="0" quotePrefix="1" applyFont="1" applyAlignment="1">
      <alignment wrapText="1"/>
    </xf>
  </cellXfs>
  <cellStyles count="29">
    <cellStyle name="BEPAALD" xfId="4"/>
    <cellStyle name="Currency" xfId="15" builtinId="4"/>
    <cellStyle name="DATUM" xfId="5"/>
    <cellStyle name="Euro" xfId="13"/>
    <cellStyle name="F2" xfId="19"/>
    <cellStyle name="F3" xfId="24"/>
    <cellStyle name="F4" xfId="20"/>
    <cellStyle name="F5" xfId="21"/>
    <cellStyle name="F6" xfId="22"/>
    <cellStyle name="F7" xfId="17"/>
    <cellStyle name="F8" xfId="23"/>
    <cellStyle name="Hyperlink" xfId="28" builtinId="8"/>
    <cellStyle name="KOP1" xfId="6"/>
    <cellStyle name="KOP2" xfId="7"/>
    <cellStyle name="MUNT" xfId="8"/>
    <cellStyle name="Normaal" xfId="2"/>
    <cellStyle name="Normal" xfId="0" builtinId="0"/>
    <cellStyle name="Normal 2" xfId="1"/>
    <cellStyle name="Normal 2 2" xfId="3"/>
    <cellStyle name="Normal 3" xfId="12"/>
    <cellStyle name="Normal 3 2" xfId="18"/>
    <cellStyle name="Normal 3 3" xfId="27"/>
    <cellStyle name="Normal 3 4" xfId="25"/>
    <cellStyle name="Percent 2" xfId="14"/>
    <cellStyle name="PUNT" xfId="9"/>
    <cellStyle name="Standaard 2" xfId="16"/>
    <cellStyle name="Standaard 3" xfId="26"/>
    <cellStyle name="STANDAARD1" xfId="10"/>
    <cellStyle name="TOTAAL"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iSa\Projects\15TwIn_TWIN%20begroting%202016\YYPrCd_Data\YYPrCd_DatOrig\Opgave%20IenM-TOF_begroting-2016%2008-1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iSa\Projects\15TwIn_TWIN%20begroting%202016\YYPrCd_Data\YYPrCd_WrkDat\Bewerkte%20cijfers%20departementen\EZ-bijdrage%20TWIN-overzicht%20begroting%202016-bewerk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sheetName val="toelichting R&amp;D"/>
      <sheetName val="toelichting innovatie"/>
      <sheetName val="NABScodering"/>
    </sheetNames>
    <sheetDataSet>
      <sheetData sheetId="0">
        <row r="88">
          <cell r="B88" t="str">
            <v>RWS Corporate innovatie (HWN, HWVN)</v>
          </cell>
        </row>
        <row r="96">
          <cell r="B96" t="str">
            <v>Opdrachten KDC</v>
          </cell>
        </row>
        <row r="98">
          <cell r="B98" t="str">
            <v>KLM Corporate Biofuel Programme</v>
          </cell>
        </row>
        <row r="100">
          <cell r="B100" t="str">
            <v>topsector logistiek - opdrachten</v>
          </cell>
        </row>
        <row r="102">
          <cell r="B102" t="str">
            <v>topsector logistiek - subsidies</v>
          </cell>
        </row>
        <row r="104">
          <cell r="B104" t="str">
            <v>subsidieregeling innovaties duurzame binnenvaart</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_HMS_1001_V20120415 (6)"/>
      <sheetName val="Cat A en B"/>
      <sheetName val="Cat C"/>
    </sheetNames>
    <sheetDataSet>
      <sheetData sheetId="0"/>
      <sheetData sheetId="1"/>
      <sheetData sheetId="2">
        <row r="22">
          <cell r="J22">
            <v>2418</v>
          </cell>
          <cell r="K22">
            <v>2663.25</v>
          </cell>
          <cell r="L22">
            <v>1782.75</v>
          </cell>
          <cell r="M22">
            <v>1776</v>
          </cell>
          <cell r="N22">
            <v>1776</v>
          </cell>
          <cell r="O22">
            <v>1776</v>
          </cell>
          <cell r="P22">
            <v>1776</v>
          </cell>
        </row>
        <row r="23">
          <cell r="J23">
            <v>402.75</v>
          </cell>
          <cell r="K23">
            <v>-232.5</v>
          </cell>
          <cell r="L23">
            <v>0</v>
          </cell>
          <cell r="M23">
            <v>0</v>
          </cell>
          <cell r="N23">
            <v>0</v>
          </cell>
          <cell r="O23">
            <v>0</v>
          </cell>
          <cell r="P23">
            <v>0</v>
          </cell>
        </row>
        <row r="24">
          <cell r="J24">
            <v>1402.5</v>
          </cell>
          <cell r="K24">
            <v>0</v>
          </cell>
          <cell r="L24">
            <v>0</v>
          </cell>
          <cell r="M24">
            <v>0</v>
          </cell>
          <cell r="N24">
            <v>0</v>
          </cell>
          <cell r="O24">
            <v>0</v>
          </cell>
          <cell r="P24">
            <v>0</v>
          </cell>
        </row>
        <row r="25">
          <cell r="J25">
            <v>102.75</v>
          </cell>
          <cell r="K25">
            <v>472.5</v>
          </cell>
          <cell r="L25">
            <v>0</v>
          </cell>
          <cell r="M25">
            <v>0</v>
          </cell>
          <cell r="N25">
            <v>0</v>
          </cell>
          <cell r="O25">
            <v>0</v>
          </cell>
          <cell r="P25">
            <v>0</v>
          </cell>
        </row>
        <row r="26">
          <cell r="J26">
            <v>339.75</v>
          </cell>
          <cell r="K26">
            <v>0</v>
          </cell>
          <cell r="L26">
            <v>0</v>
          </cell>
          <cell r="M26">
            <v>0</v>
          </cell>
          <cell r="N26">
            <v>0</v>
          </cell>
          <cell r="O26">
            <v>0</v>
          </cell>
          <cell r="P26">
            <v>0</v>
          </cell>
        </row>
        <row r="27">
          <cell r="J27">
            <v>6520.5</v>
          </cell>
          <cell r="K27">
            <v>0</v>
          </cell>
          <cell r="L27">
            <v>0</v>
          </cell>
          <cell r="M27">
            <v>0</v>
          </cell>
          <cell r="N27">
            <v>0</v>
          </cell>
          <cell r="O27">
            <v>0</v>
          </cell>
          <cell r="P27">
            <v>0</v>
          </cell>
        </row>
        <row r="28">
          <cell r="J28">
            <v>820.5</v>
          </cell>
          <cell r="K28">
            <v>2618.25</v>
          </cell>
          <cell r="L28">
            <v>0</v>
          </cell>
          <cell r="M28">
            <v>0</v>
          </cell>
          <cell r="N28">
            <v>0</v>
          </cell>
          <cell r="O28">
            <v>0</v>
          </cell>
          <cell r="P28">
            <v>0</v>
          </cell>
        </row>
        <row r="29">
          <cell r="J29">
            <v>0</v>
          </cell>
          <cell r="K29">
            <v>390</v>
          </cell>
          <cell r="L29">
            <v>0</v>
          </cell>
          <cell r="M29">
            <v>0</v>
          </cell>
          <cell r="N29">
            <v>0</v>
          </cell>
          <cell r="O29">
            <v>0</v>
          </cell>
          <cell r="P29">
            <v>0</v>
          </cell>
        </row>
        <row r="31">
          <cell r="J31">
            <v>180</v>
          </cell>
          <cell r="K31">
            <v>0</v>
          </cell>
          <cell r="L31">
            <v>0</v>
          </cell>
          <cell r="M31">
            <v>0</v>
          </cell>
          <cell r="N31">
            <v>0</v>
          </cell>
          <cell r="O31">
            <v>0</v>
          </cell>
          <cell r="P31">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abSelected="1" zoomScaleNormal="100" workbookViewId="0"/>
  </sheetViews>
  <sheetFormatPr defaultRowHeight="15" customHeight="1" x14ac:dyDescent="0.25"/>
  <cols>
    <col min="1" max="1" width="96.140625" style="41" customWidth="1"/>
    <col min="2" max="16384" width="9.140625" style="41"/>
  </cols>
  <sheetData>
    <row r="1" spans="1:1" ht="20.100000000000001" customHeight="1" x14ac:dyDescent="0.3">
      <c r="A1" s="102" t="s">
        <v>334</v>
      </c>
    </row>
    <row r="2" spans="1:1" ht="15" customHeight="1" x14ac:dyDescent="0.3">
      <c r="A2" s="102"/>
    </row>
    <row r="3" spans="1:1" s="89" customFormat="1" ht="15" customHeight="1" x14ac:dyDescent="0.25">
      <c r="A3" s="159" t="s">
        <v>333</v>
      </c>
    </row>
    <row r="4" spans="1:1" s="89" customFormat="1" ht="30" customHeight="1" x14ac:dyDescent="0.25">
      <c r="A4" s="160" t="s">
        <v>433</v>
      </c>
    </row>
    <row r="5" spans="1:1" s="89" customFormat="1" ht="30" customHeight="1" x14ac:dyDescent="0.25">
      <c r="A5" s="160" t="s">
        <v>434</v>
      </c>
    </row>
    <row r="6" spans="1:1" s="89" customFormat="1" ht="15" customHeight="1" x14ac:dyDescent="0.25">
      <c r="A6" s="160" t="s">
        <v>435</v>
      </c>
    </row>
    <row r="7" spans="1:1" s="89" customFormat="1" ht="30" customHeight="1" x14ac:dyDescent="0.25">
      <c r="A7" s="160" t="s">
        <v>436</v>
      </c>
    </row>
    <row r="8" spans="1:1" s="89" customFormat="1" ht="15" customHeight="1" x14ac:dyDescent="0.25">
      <c r="A8" s="160" t="s">
        <v>437</v>
      </c>
    </row>
    <row r="9" spans="1:1" s="89" customFormat="1" ht="15" customHeight="1" x14ac:dyDescent="0.25">
      <c r="A9" s="160" t="s">
        <v>438</v>
      </c>
    </row>
    <row r="10" spans="1:1" s="89" customFormat="1" ht="15" customHeight="1" x14ac:dyDescent="0.25">
      <c r="A10" s="160" t="s">
        <v>439</v>
      </c>
    </row>
  </sheetData>
  <pageMargins left="0.70866141732283472" right="0.70866141732283472" top="0.74803149606299213" bottom="0.74803149606299213" header="0.31496062992125984" footer="0.31496062992125984"/>
  <pageSetup paperSize="9" scale="85" orientation="portrait" r:id="rId1"/>
  <headerFooter>
    <oddFooter>&amp;L&amp;Z&amp;F</oddFooter>
  </headerFooter>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workbookViewId="0"/>
  </sheetViews>
  <sheetFormatPr defaultRowHeight="15" x14ac:dyDescent="0.25"/>
  <cols>
    <col min="1" max="1" width="184.28515625" style="145" customWidth="1"/>
    <col min="2" max="2" width="0.140625" style="145" customWidth="1"/>
    <col min="3" max="8" width="9.140625" style="145" hidden="1" customWidth="1"/>
    <col min="9" max="16384" width="9.140625" style="145"/>
  </cols>
  <sheetData>
    <row r="1" spans="1:21" ht="18.75" x14ac:dyDescent="0.3">
      <c r="A1" s="102" t="s">
        <v>431</v>
      </c>
    </row>
    <row r="3" spans="1:21" ht="15" customHeight="1" x14ac:dyDescent="0.25">
      <c r="A3" s="57" t="s">
        <v>296</v>
      </c>
    </row>
    <row r="4" spans="1:21" ht="15" customHeight="1" x14ac:dyDescent="0.25">
      <c r="A4" s="226" t="s">
        <v>346</v>
      </c>
      <c r="B4" s="227"/>
      <c r="C4" s="227"/>
      <c r="D4" s="227"/>
      <c r="E4" s="227"/>
      <c r="F4" s="227"/>
      <c r="G4" s="227"/>
      <c r="H4" s="227"/>
    </row>
    <row r="5" spans="1:21" ht="15" customHeight="1" x14ac:dyDescent="0.25">
      <c r="A5" s="218" t="s">
        <v>522</v>
      </c>
      <c r="B5" s="155"/>
      <c r="C5" s="155"/>
      <c r="D5" s="155"/>
      <c r="E5" s="155"/>
      <c r="F5" s="155"/>
      <c r="G5" s="155"/>
      <c r="H5" s="155"/>
    </row>
    <row r="6" spans="1:21" ht="15" customHeight="1" x14ac:dyDescent="0.25">
      <c r="A6" s="228" t="s">
        <v>221</v>
      </c>
      <c r="B6" s="229"/>
      <c r="C6" s="229"/>
      <c r="D6" s="229"/>
      <c r="E6" s="229"/>
      <c r="F6" s="229"/>
      <c r="G6" s="229"/>
      <c r="H6" s="229"/>
    </row>
    <row r="7" spans="1:21" ht="15" customHeight="1" x14ac:dyDescent="0.25">
      <c r="A7" s="230" t="s">
        <v>440</v>
      </c>
      <c r="B7" s="227"/>
      <c r="C7" s="227"/>
      <c r="D7" s="227"/>
      <c r="E7" s="227"/>
      <c r="F7" s="227"/>
      <c r="G7" s="227"/>
      <c r="H7" s="227"/>
    </row>
    <row r="8" spans="1:21" ht="15" customHeight="1" x14ac:dyDescent="0.25">
      <c r="A8" s="160" t="s">
        <v>441</v>
      </c>
      <c r="B8" s="155"/>
      <c r="C8" s="155"/>
      <c r="D8" s="155"/>
      <c r="E8" s="155"/>
      <c r="F8" s="155"/>
      <c r="G8" s="155"/>
      <c r="H8" s="155"/>
    </row>
    <row r="9" spans="1:21" ht="15" customHeight="1" x14ac:dyDescent="0.25"/>
    <row r="10" spans="1:21" ht="15" customHeight="1" x14ac:dyDescent="0.25">
      <c r="A10" s="85" t="s">
        <v>298</v>
      </c>
      <c r="B10" s="2"/>
      <c r="C10" s="2"/>
      <c r="D10" s="2"/>
      <c r="E10" s="2"/>
      <c r="F10" s="2"/>
      <c r="G10" s="2"/>
      <c r="H10" s="2"/>
      <c r="I10" s="2"/>
      <c r="J10" s="2"/>
      <c r="K10" s="2"/>
      <c r="L10" s="2"/>
      <c r="M10" s="2"/>
      <c r="N10" s="2"/>
    </row>
    <row r="11" spans="1:21" ht="15" customHeight="1" x14ac:dyDescent="0.25">
      <c r="A11" s="85"/>
      <c r="B11" s="2"/>
      <c r="C11" s="2"/>
      <c r="D11" s="2"/>
      <c r="E11" s="2"/>
      <c r="F11" s="2"/>
      <c r="G11" s="2"/>
      <c r="H11" s="2"/>
      <c r="I11" s="2"/>
      <c r="J11" s="2"/>
      <c r="K11" s="2"/>
      <c r="L11" s="2"/>
      <c r="M11" s="2"/>
      <c r="N11" s="2"/>
    </row>
    <row r="12" spans="1:21" ht="15" customHeight="1" x14ac:dyDescent="0.25">
      <c r="A12" s="3" t="s">
        <v>284</v>
      </c>
      <c r="B12" s="2"/>
      <c r="C12" s="2"/>
      <c r="D12" s="2"/>
      <c r="E12" s="2"/>
      <c r="F12" s="2"/>
      <c r="G12" s="2"/>
      <c r="H12" s="2"/>
      <c r="I12" s="2"/>
      <c r="J12" s="2"/>
      <c r="K12" s="2"/>
      <c r="L12" s="2"/>
      <c r="M12" s="2"/>
      <c r="N12" s="2"/>
    </row>
    <row r="13" spans="1:21" ht="15" customHeight="1" x14ac:dyDescent="0.25">
      <c r="A13" s="88" t="s">
        <v>309</v>
      </c>
      <c r="B13" s="157"/>
      <c r="C13" s="157"/>
      <c r="D13" s="157"/>
      <c r="E13" s="157"/>
      <c r="F13" s="157"/>
      <c r="G13" s="157"/>
      <c r="H13" s="157"/>
      <c r="I13" s="157"/>
      <c r="J13" s="157"/>
      <c r="K13" s="157"/>
      <c r="L13" s="157"/>
      <c r="M13" s="157"/>
      <c r="N13" s="157"/>
    </row>
    <row r="14" spans="1:21" ht="15" customHeight="1" x14ac:dyDescent="0.25">
      <c r="A14" s="157" t="s">
        <v>310</v>
      </c>
      <c r="B14" s="157"/>
      <c r="C14" s="157"/>
      <c r="D14" s="157"/>
      <c r="E14" s="157"/>
      <c r="F14" s="157"/>
      <c r="G14" s="157"/>
      <c r="H14" s="157"/>
      <c r="I14" s="157"/>
      <c r="J14" s="157"/>
      <c r="K14" s="157"/>
      <c r="L14" s="157"/>
      <c r="M14" s="157"/>
      <c r="N14" s="157"/>
      <c r="O14" s="2"/>
      <c r="P14" s="2"/>
      <c r="Q14" s="2"/>
      <c r="R14" s="156"/>
      <c r="S14" s="54"/>
      <c r="T14" s="156"/>
      <c r="U14" s="156"/>
    </row>
    <row r="15" spans="1:21" ht="15" customHeight="1" x14ac:dyDescent="0.25">
      <c r="A15" s="2" t="s">
        <v>285</v>
      </c>
      <c r="B15" s="2"/>
      <c r="C15" s="2"/>
      <c r="D15" s="2"/>
      <c r="E15" s="2"/>
      <c r="F15" s="2"/>
      <c r="G15" s="2"/>
      <c r="H15" s="2"/>
      <c r="I15" s="2"/>
      <c r="J15" s="2"/>
      <c r="K15" s="2"/>
      <c r="L15" s="2"/>
      <c r="M15" s="2"/>
      <c r="N15" s="2"/>
      <c r="O15" s="2"/>
      <c r="P15" s="2"/>
      <c r="Q15" s="2"/>
      <c r="R15" s="156"/>
      <c r="S15" s="54"/>
      <c r="T15" s="156"/>
      <c r="U15" s="156"/>
    </row>
    <row r="16" spans="1:21" ht="15" customHeight="1" x14ac:dyDescent="0.25">
      <c r="A16" s="2"/>
      <c r="B16" s="2"/>
      <c r="C16" s="2"/>
      <c r="D16" s="2"/>
      <c r="E16" s="2"/>
      <c r="F16" s="2"/>
      <c r="G16" s="2"/>
      <c r="H16" s="2"/>
      <c r="I16" s="2"/>
      <c r="J16" s="2"/>
      <c r="K16" s="2"/>
      <c r="L16" s="2"/>
      <c r="M16" s="2"/>
      <c r="N16" s="2"/>
      <c r="O16" s="2"/>
      <c r="P16" s="2"/>
      <c r="Q16" s="2"/>
      <c r="R16" s="156"/>
      <c r="S16" s="54"/>
      <c r="T16" s="156"/>
      <c r="U16" s="156"/>
    </row>
    <row r="17" spans="1:21" ht="15" customHeight="1" x14ac:dyDescent="0.25">
      <c r="A17" s="3" t="s">
        <v>297</v>
      </c>
      <c r="B17" s="2"/>
      <c r="C17" s="2"/>
      <c r="D17" s="2"/>
      <c r="E17" s="2"/>
      <c r="F17" s="2"/>
      <c r="G17" s="2"/>
      <c r="H17" s="2"/>
      <c r="I17" s="2"/>
      <c r="J17" s="2"/>
      <c r="K17" s="2"/>
      <c r="L17" s="2"/>
      <c r="M17" s="2"/>
      <c r="N17" s="2"/>
      <c r="O17" s="55"/>
      <c r="P17" s="55"/>
      <c r="Q17" s="55"/>
      <c r="R17" s="55"/>
      <c r="S17" s="56"/>
      <c r="T17" s="55"/>
      <c r="U17" s="55"/>
    </row>
    <row r="18" spans="1:21" ht="15" customHeight="1" x14ac:dyDescent="0.25">
      <c r="A18" s="86" t="s">
        <v>286</v>
      </c>
      <c r="B18" s="2"/>
      <c r="C18" s="2"/>
      <c r="D18" s="2"/>
      <c r="E18" s="2"/>
      <c r="F18" s="2"/>
      <c r="G18" s="2"/>
      <c r="H18" s="2"/>
      <c r="I18" s="2"/>
      <c r="J18" s="2"/>
      <c r="K18" s="2"/>
      <c r="L18" s="2"/>
      <c r="M18" s="2"/>
      <c r="N18" s="2"/>
    </row>
    <row r="19" spans="1:21" ht="15" customHeight="1" x14ac:dyDescent="0.25">
      <c r="A19" s="86" t="s">
        <v>287</v>
      </c>
      <c r="B19" s="2"/>
      <c r="C19" s="2"/>
      <c r="D19" s="2"/>
      <c r="E19" s="2"/>
      <c r="F19" s="2"/>
      <c r="G19" s="2"/>
      <c r="H19" s="2"/>
      <c r="I19" s="2"/>
      <c r="J19" s="2"/>
      <c r="K19" s="2"/>
      <c r="L19" s="2"/>
      <c r="M19" s="2"/>
      <c r="N19" s="2"/>
    </row>
    <row r="20" spans="1:21" ht="15" customHeight="1" x14ac:dyDescent="0.25">
      <c r="A20" s="86" t="s">
        <v>529</v>
      </c>
      <c r="B20" s="2"/>
      <c r="C20" s="2"/>
      <c r="D20" s="2"/>
      <c r="E20" s="2"/>
      <c r="F20" s="2"/>
      <c r="G20" s="2"/>
      <c r="H20" s="2"/>
      <c r="I20" s="2"/>
      <c r="J20" s="2"/>
      <c r="K20" s="2"/>
      <c r="L20" s="2"/>
      <c r="M20" s="2"/>
      <c r="N20" s="2"/>
    </row>
    <row r="21" spans="1:21" ht="15" customHeight="1" x14ac:dyDescent="0.25">
      <c r="A21" s="86" t="s">
        <v>530</v>
      </c>
      <c r="B21" s="2"/>
      <c r="C21" s="2"/>
      <c r="D21" s="2"/>
      <c r="E21" s="2"/>
      <c r="F21" s="2"/>
      <c r="G21" s="2"/>
      <c r="H21" s="2"/>
      <c r="I21" s="2"/>
      <c r="J21" s="2"/>
      <c r="K21" s="2"/>
      <c r="L21" s="2"/>
      <c r="M21" s="2"/>
      <c r="N21" s="2"/>
    </row>
    <row r="22" spans="1:21" ht="15" customHeight="1" x14ac:dyDescent="0.25">
      <c r="A22" s="2"/>
      <c r="B22" s="2"/>
      <c r="C22" s="2"/>
      <c r="D22" s="2"/>
      <c r="E22" s="2"/>
      <c r="F22" s="2"/>
      <c r="G22" s="2"/>
      <c r="H22" s="2"/>
      <c r="I22" s="2"/>
      <c r="J22" s="2"/>
      <c r="K22" s="2"/>
      <c r="L22" s="2"/>
      <c r="M22" s="2"/>
      <c r="N22" s="2"/>
    </row>
    <row r="23" spans="1:21" ht="15" customHeight="1" x14ac:dyDescent="0.25">
      <c r="A23" s="3" t="s">
        <v>288</v>
      </c>
      <c r="B23" s="2"/>
      <c r="C23" s="2"/>
      <c r="D23" s="2"/>
      <c r="E23" s="2"/>
      <c r="F23" s="2"/>
      <c r="G23" s="2"/>
      <c r="H23" s="2"/>
      <c r="I23" s="2"/>
      <c r="J23" s="2"/>
      <c r="K23" s="2"/>
      <c r="L23" s="2"/>
      <c r="M23" s="2"/>
      <c r="N23" s="2"/>
    </row>
    <row r="24" spans="1:21" ht="45" customHeight="1" x14ac:dyDescent="0.25">
      <c r="A24" s="88" t="s">
        <v>289</v>
      </c>
      <c r="B24" s="158"/>
      <c r="C24" s="158"/>
      <c r="D24" s="158"/>
      <c r="E24" s="158"/>
      <c r="F24" s="158"/>
      <c r="G24" s="158"/>
      <c r="H24" s="158"/>
      <c r="I24" s="158"/>
      <c r="J24" s="158"/>
      <c r="K24" s="158"/>
      <c r="L24" s="158"/>
      <c r="M24" s="158"/>
      <c r="N24" s="158"/>
    </row>
    <row r="25" spans="1:21" ht="15" customHeight="1" x14ac:dyDescent="0.25">
      <c r="A25" s="2"/>
      <c r="B25" s="2"/>
      <c r="C25" s="2"/>
      <c r="D25" s="2"/>
      <c r="E25" s="2"/>
      <c r="F25" s="2"/>
      <c r="G25" s="2"/>
      <c r="H25" s="2"/>
      <c r="I25" s="2"/>
      <c r="J25" s="2"/>
      <c r="K25" s="2"/>
      <c r="L25" s="2"/>
      <c r="M25" s="2"/>
      <c r="N25" s="2"/>
    </row>
    <row r="26" spans="1:21" ht="15" customHeight="1" x14ac:dyDescent="0.25">
      <c r="A26" s="3" t="s">
        <v>290</v>
      </c>
      <c r="B26" s="2"/>
      <c r="C26" s="2"/>
      <c r="D26" s="2"/>
      <c r="E26" s="2"/>
      <c r="F26" s="2"/>
      <c r="G26" s="2"/>
      <c r="H26" s="2"/>
      <c r="I26" s="2"/>
      <c r="J26" s="2"/>
      <c r="K26" s="2"/>
      <c r="L26" s="2"/>
      <c r="M26" s="2"/>
      <c r="N26" s="2"/>
    </row>
    <row r="27" spans="1:21" ht="45" customHeight="1" x14ac:dyDescent="0.25">
      <c r="A27" s="88" t="s">
        <v>528</v>
      </c>
      <c r="B27" s="158"/>
      <c r="C27" s="158"/>
      <c r="D27" s="158"/>
      <c r="E27" s="158"/>
      <c r="F27" s="158"/>
      <c r="G27" s="158"/>
      <c r="H27" s="158"/>
      <c r="I27" s="158"/>
      <c r="J27" s="158"/>
      <c r="K27" s="158"/>
      <c r="L27" s="158"/>
      <c r="M27" s="158"/>
      <c r="N27" s="158"/>
    </row>
    <row r="28" spans="1:21" ht="15" customHeight="1" x14ac:dyDescent="0.25">
      <c r="A28" s="2"/>
      <c r="B28" s="2"/>
      <c r="C28" s="2"/>
      <c r="D28" s="2"/>
      <c r="E28" s="2"/>
      <c r="F28" s="2"/>
      <c r="G28" s="2"/>
      <c r="H28" s="2"/>
      <c r="I28" s="2"/>
      <c r="J28" s="2"/>
      <c r="K28" s="2"/>
      <c r="L28" s="2"/>
      <c r="M28" s="2"/>
      <c r="N28" s="2"/>
    </row>
    <row r="29" spans="1:21" ht="15" customHeight="1" x14ac:dyDescent="0.25">
      <c r="A29" s="3" t="s">
        <v>291</v>
      </c>
      <c r="B29" s="2"/>
      <c r="C29" s="2"/>
      <c r="D29" s="2"/>
      <c r="E29" s="2"/>
      <c r="F29" s="2"/>
      <c r="G29" s="2"/>
      <c r="H29" s="2"/>
      <c r="I29" s="2"/>
      <c r="J29" s="2"/>
      <c r="K29" s="2"/>
      <c r="L29" s="2"/>
      <c r="M29" s="2"/>
      <c r="N29" s="2"/>
    </row>
    <row r="30" spans="1:21" ht="15" customHeight="1" x14ac:dyDescent="0.25">
      <c r="A30" s="2" t="s">
        <v>292</v>
      </c>
      <c r="B30" s="2"/>
      <c r="C30" s="2"/>
      <c r="D30" s="2"/>
      <c r="E30" s="2"/>
      <c r="F30" s="2"/>
      <c r="G30" s="2"/>
      <c r="H30" s="2"/>
      <c r="I30" s="2"/>
      <c r="J30" s="2"/>
      <c r="K30" s="2"/>
      <c r="L30" s="2"/>
      <c r="M30" s="2"/>
      <c r="N30" s="2"/>
    </row>
    <row r="31" spans="1:21" ht="15" customHeight="1" x14ac:dyDescent="0.25">
      <c r="A31" s="2"/>
      <c r="B31" s="2"/>
      <c r="C31" s="2"/>
      <c r="D31" s="2"/>
      <c r="E31" s="2"/>
      <c r="F31" s="2"/>
      <c r="G31" s="2"/>
      <c r="H31" s="2"/>
      <c r="I31" s="2"/>
      <c r="J31" s="2"/>
      <c r="K31" s="2"/>
      <c r="L31" s="2"/>
      <c r="M31" s="2"/>
      <c r="N31" s="2"/>
    </row>
    <row r="32" spans="1:21" ht="15" customHeight="1" x14ac:dyDescent="0.25">
      <c r="A32" s="3" t="s">
        <v>293</v>
      </c>
      <c r="B32" s="2"/>
      <c r="C32" s="2"/>
      <c r="D32" s="2"/>
      <c r="E32" s="2"/>
      <c r="F32" s="2"/>
      <c r="G32" s="2"/>
      <c r="H32" s="2"/>
      <c r="I32" s="2"/>
      <c r="J32" s="2"/>
      <c r="K32" s="2"/>
      <c r="L32" s="2"/>
      <c r="M32" s="2"/>
      <c r="N32" s="2"/>
    </row>
    <row r="33" spans="1:14" ht="30" customHeight="1" x14ac:dyDescent="0.25">
      <c r="A33" s="88" t="s">
        <v>294</v>
      </c>
      <c r="B33" s="158"/>
      <c r="C33" s="158"/>
      <c r="D33" s="158"/>
      <c r="E33" s="158"/>
      <c r="F33" s="158"/>
      <c r="G33" s="158"/>
      <c r="H33" s="158"/>
      <c r="I33" s="158"/>
      <c r="J33" s="158"/>
      <c r="K33" s="158"/>
      <c r="L33" s="158"/>
      <c r="M33" s="158"/>
      <c r="N33" s="158"/>
    </row>
    <row r="34" spans="1:14" ht="15" customHeight="1" x14ac:dyDescent="0.25">
      <c r="A34" s="88"/>
      <c r="B34" s="158"/>
      <c r="C34" s="158"/>
      <c r="D34" s="158"/>
      <c r="E34" s="158"/>
      <c r="F34" s="158"/>
      <c r="G34" s="158"/>
      <c r="H34" s="158"/>
      <c r="I34" s="158"/>
      <c r="J34" s="158"/>
      <c r="K34" s="158"/>
      <c r="L34" s="158"/>
      <c r="M34" s="158"/>
      <c r="N34" s="158"/>
    </row>
    <row r="35" spans="1:14" ht="15" customHeight="1" x14ac:dyDescent="0.25">
      <c r="A35" s="3" t="s">
        <v>295</v>
      </c>
      <c r="B35" s="2"/>
      <c r="C35" s="2"/>
      <c r="D35" s="2"/>
      <c r="E35" s="2"/>
      <c r="F35" s="2"/>
      <c r="G35" s="2"/>
      <c r="H35" s="2"/>
      <c r="I35" s="2"/>
      <c r="J35" s="2"/>
      <c r="K35" s="2"/>
      <c r="L35" s="2"/>
      <c r="M35" s="2"/>
      <c r="N35" s="2"/>
    </row>
    <row r="36" spans="1:14" ht="15" customHeight="1" x14ac:dyDescent="0.25">
      <c r="A36" s="88" t="s">
        <v>359</v>
      </c>
      <c r="B36" s="158"/>
      <c r="C36" s="158"/>
      <c r="D36" s="158"/>
      <c r="E36" s="158"/>
      <c r="F36" s="158"/>
      <c r="G36" s="158"/>
      <c r="H36" s="158"/>
      <c r="I36" s="158"/>
      <c r="J36" s="158"/>
      <c r="K36" s="158"/>
      <c r="L36" s="158"/>
      <c r="M36" s="158"/>
      <c r="N36" s="158"/>
    </row>
    <row r="37" spans="1:14" ht="15" customHeight="1" x14ac:dyDescent="0.25"/>
    <row r="38" spans="1:14" ht="15" customHeight="1" x14ac:dyDescent="0.25">
      <c r="A38" s="3" t="s">
        <v>299</v>
      </c>
    </row>
    <row r="39" spans="1:14" ht="15" customHeight="1" x14ac:dyDescent="0.25">
      <c r="A39" s="2" t="s">
        <v>300</v>
      </c>
    </row>
    <row r="40" spans="1:14" ht="15" customHeight="1" x14ac:dyDescent="0.25">
      <c r="A40" s="2" t="s">
        <v>531</v>
      </c>
    </row>
    <row r="41" spans="1:14" ht="15" customHeight="1" x14ac:dyDescent="0.25">
      <c r="A41" s="86" t="s">
        <v>301</v>
      </c>
    </row>
    <row r="42" spans="1:14" ht="15" customHeight="1" x14ac:dyDescent="0.25">
      <c r="A42" s="86" t="s">
        <v>302</v>
      </c>
    </row>
    <row r="43" spans="1:14" ht="15" customHeight="1" x14ac:dyDescent="0.25">
      <c r="A43" s="86" t="s">
        <v>303</v>
      </c>
    </row>
    <row r="44" spans="1:14" ht="15" customHeight="1" x14ac:dyDescent="0.25">
      <c r="A44" s="86" t="s">
        <v>304</v>
      </c>
    </row>
    <row r="45" spans="1:14" ht="15" customHeight="1" x14ac:dyDescent="0.25"/>
    <row r="46" spans="1:14" ht="15" customHeight="1" x14ac:dyDescent="0.25">
      <c r="A46" s="3" t="s">
        <v>305</v>
      </c>
    </row>
    <row r="47" spans="1:14" ht="15" customHeight="1" x14ac:dyDescent="0.25">
      <c r="A47" s="2" t="s">
        <v>306</v>
      </c>
    </row>
    <row r="48" spans="1:14" ht="15" customHeight="1" x14ac:dyDescent="0.25"/>
    <row r="49" spans="1:1" ht="15" customHeight="1" x14ac:dyDescent="0.25">
      <c r="A49" s="3" t="s">
        <v>307</v>
      </c>
    </row>
    <row r="50" spans="1:1" ht="15" customHeight="1" x14ac:dyDescent="0.25">
      <c r="A50" s="2" t="s">
        <v>308</v>
      </c>
    </row>
    <row r="51" spans="1:1" ht="15" customHeight="1" x14ac:dyDescent="0.25">
      <c r="A51" s="2" t="s">
        <v>432</v>
      </c>
    </row>
    <row r="52" spans="1:1" ht="15" customHeight="1" x14ac:dyDescent="0.25">
      <c r="A52" s="2"/>
    </row>
  </sheetData>
  <mergeCells count="3">
    <mergeCell ref="A4:H4"/>
    <mergeCell ref="A6:H6"/>
    <mergeCell ref="A7:H7"/>
  </mergeCells>
  <pageMargins left="0.70866141732283472" right="0.70866141732283472" top="0.74803149606299213" bottom="0.74803149606299213" header="0.31496062992125984" footer="0.31496062992125984"/>
  <pageSetup paperSize="9" scale="53" orientation="landscape" r:id="rId1"/>
  <headerFooter>
    <oddFooter>&amp;L&amp;Z&amp;F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workbookViewId="0"/>
  </sheetViews>
  <sheetFormatPr defaultRowHeight="12.75" x14ac:dyDescent="0.2"/>
  <cols>
    <col min="1" max="1" width="5.5703125" style="141" customWidth="1"/>
    <col min="2" max="2" width="52.42578125" style="141" customWidth="1"/>
    <col min="3" max="3" width="9.42578125" style="141" bestFit="1" customWidth="1"/>
    <col min="4" max="16384" width="9.140625" style="141"/>
  </cols>
  <sheetData>
    <row r="1" spans="1:11" ht="18.75" x14ac:dyDescent="0.3">
      <c r="B1" s="97" t="s">
        <v>442</v>
      </c>
      <c r="C1" s="4"/>
      <c r="D1" s="4"/>
      <c r="E1" s="4"/>
      <c r="F1" s="4"/>
      <c r="G1" s="4"/>
      <c r="H1" s="4"/>
      <c r="I1" s="4"/>
    </row>
    <row r="2" spans="1:11" ht="15.75" x14ac:dyDescent="0.25">
      <c r="B2" s="20"/>
      <c r="C2" s="4"/>
      <c r="D2" s="4"/>
      <c r="E2" s="4"/>
      <c r="F2" s="4"/>
      <c r="G2" s="4"/>
      <c r="H2" s="4"/>
      <c r="I2" s="4"/>
    </row>
    <row r="3" spans="1:11" ht="15" x14ac:dyDescent="0.25">
      <c r="B3" s="3" t="s">
        <v>424</v>
      </c>
      <c r="C3" s="42">
        <v>2014</v>
      </c>
      <c r="D3" s="42">
        <v>2015</v>
      </c>
      <c r="E3" s="42">
        <v>2016</v>
      </c>
      <c r="F3" s="42">
        <v>2017</v>
      </c>
      <c r="G3" s="42">
        <v>2018</v>
      </c>
      <c r="H3" s="42">
        <v>2019</v>
      </c>
      <c r="I3" s="42">
        <v>2020</v>
      </c>
      <c r="J3" s="42"/>
    </row>
    <row r="4" spans="1:11" s="145" customFormat="1" ht="15" x14ac:dyDescent="0.25">
      <c r="A4" s="145" t="s">
        <v>416</v>
      </c>
      <c r="B4" s="145" t="s">
        <v>223</v>
      </c>
      <c r="C4" s="161">
        <f>'R&amp;D'!C206</f>
        <v>4873.8074220659628</v>
      </c>
      <c r="D4" s="161">
        <f>'R&amp;D'!D206</f>
        <v>5020.1699896254459</v>
      </c>
      <c r="E4" s="161">
        <f>'R&amp;D'!E206</f>
        <v>4861.4564636530195</v>
      </c>
      <c r="F4" s="161">
        <f>'R&amp;D'!F206</f>
        <v>4737.5464205387798</v>
      </c>
      <c r="G4" s="161">
        <f>'R&amp;D'!G206</f>
        <v>4660.238686073516</v>
      </c>
      <c r="H4" s="161">
        <f>'R&amp;D'!H206</f>
        <v>4657.0521399194604</v>
      </c>
      <c r="I4" s="161">
        <f>'R&amp;D'!I206</f>
        <v>4682.248793486594</v>
      </c>
      <c r="K4" s="217"/>
    </row>
    <row r="5" spans="1:11" s="60" customFormat="1" ht="15" x14ac:dyDescent="0.25">
      <c r="B5" s="58" t="s">
        <v>226</v>
      </c>
      <c r="C5" s="59">
        <f>'R&amp;D'!P206</f>
        <v>1136.5056414055691</v>
      </c>
      <c r="D5" s="59">
        <f>'R&amp;D'!Q206</f>
        <v>1215.9369072818251</v>
      </c>
      <c r="E5" s="59">
        <f>'R&amp;D'!R206</f>
        <v>1125.9377888736742</v>
      </c>
      <c r="F5" s="59">
        <f>'R&amp;D'!S206</f>
        <v>1097.2325308154623</v>
      </c>
      <c r="G5" s="59">
        <f>'R&amp;D'!T206</f>
        <v>1084.3799557068692</v>
      </c>
      <c r="H5" s="59">
        <f>'R&amp;D'!U206</f>
        <v>1073.3491261825234</v>
      </c>
      <c r="I5" s="59">
        <f>'R&amp;D'!V206</f>
        <v>1092.246922817292</v>
      </c>
    </row>
    <row r="6" spans="1:11" s="145" customFormat="1" ht="15" x14ac:dyDescent="0.25">
      <c r="A6" s="145" t="s">
        <v>417</v>
      </c>
      <c r="B6" s="2" t="s">
        <v>227</v>
      </c>
      <c r="C6" s="161">
        <f>Innovatie!C67</f>
        <v>139.31935474999997</v>
      </c>
      <c r="D6" s="161">
        <f>Innovatie!D67</f>
        <v>261.19671</v>
      </c>
      <c r="E6" s="161">
        <f>Innovatie!E67</f>
        <v>180.98617000000002</v>
      </c>
      <c r="F6" s="161">
        <f>Innovatie!F67</f>
        <v>195.54381000000001</v>
      </c>
      <c r="G6" s="161">
        <f>Innovatie!G67</f>
        <v>197.64042000000001</v>
      </c>
      <c r="H6" s="161">
        <f>Innovatie!H67</f>
        <v>173.41912000000002</v>
      </c>
      <c r="I6" s="161">
        <f>Innovatie!I67</f>
        <v>161.38741999999999</v>
      </c>
    </row>
    <row r="7" spans="1:11" s="145" customFormat="1" ht="15" x14ac:dyDescent="0.25">
      <c r="A7" s="145" t="s">
        <v>418</v>
      </c>
      <c r="B7" s="145" t="s">
        <v>222</v>
      </c>
      <c r="C7" s="161">
        <f>Fiscaal!B9</f>
        <v>1045.739</v>
      </c>
      <c r="D7" s="161">
        <f>Fiscaal!C9</f>
        <v>1042.7760000000001</v>
      </c>
      <c r="E7" s="161">
        <f>Fiscaal!D9</f>
        <v>1153.8</v>
      </c>
      <c r="F7" s="161">
        <f>Fiscaal!E9</f>
        <v>1130.8499999999999</v>
      </c>
      <c r="G7" s="161">
        <f>Fiscaal!F9</f>
        <v>1130.9000000000001</v>
      </c>
      <c r="H7" s="161">
        <f>Fiscaal!G9</f>
        <v>1131</v>
      </c>
      <c r="I7" s="161">
        <f>Fiscaal!H9</f>
        <v>1128</v>
      </c>
    </row>
    <row r="8" spans="1:11" s="61" customFormat="1" ht="15.75" x14ac:dyDescent="0.25">
      <c r="B8" s="61" t="s">
        <v>225</v>
      </c>
      <c r="C8" s="62">
        <f>+C4+C6+C7</f>
        <v>6058.8657768159628</v>
      </c>
      <c r="D8" s="62">
        <f t="shared" ref="D8:I8" si="0">+D4+D6+D7</f>
        <v>6324.1426996254459</v>
      </c>
      <c r="E8" s="62">
        <f t="shared" si="0"/>
        <v>6196.2426336530198</v>
      </c>
      <c r="F8" s="62">
        <f t="shared" si="0"/>
        <v>6063.9402305387794</v>
      </c>
      <c r="G8" s="62">
        <f t="shared" si="0"/>
        <v>5988.7791060735162</v>
      </c>
      <c r="H8" s="62">
        <f t="shared" si="0"/>
        <v>5961.4712599194609</v>
      </c>
      <c r="I8" s="62">
        <f t="shared" si="0"/>
        <v>5971.636213486594</v>
      </c>
    </row>
    <row r="9" spans="1:11" s="60" customFormat="1" ht="15" x14ac:dyDescent="0.25">
      <c r="B9" s="58" t="s">
        <v>353</v>
      </c>
      <c r="C9" s="59">
        <f>+C5+C6+C7</f>
        <v>2321.5639961555689</v>
      </c>
      <c r="D9" s="59">
        <f t="shared" ref="D9:I9" si="1">+D5+D6+D7</f>
        <v>2519.9096172818254</v>
      </c>
      <c r="E9" s="59">
        <f t="shared" si="1"/>
        <v>2460.7239588736738</v>
      </c>
      <c r="F9" s="59">
        <f t="shared" si="1"/>
        <v>2423.6263408154623</v>
      </c>
      <c r="G9" s="59">
        <f t="shared" si="1"/>
        <v>2412.920375706869</v>
      </c>
      <c r="H9" s="59">
        <f t="shared" si="1"/>
        <v>2377.7682461825234</v>
      </c>
      <c r="I9" s="59">
        <f t="shared" si="1"/>
        <v>2381.6343428172922</v>
      </c>
    </row>
    <row r="10" spans="1:11" s="101" customFormat="1" ht="15" x14ac:dyDescent="0.25">
      <c r="B10" s="58" t="s">
        <v>354</v>
      </c>
      <c r="C10" s="100">
        <f>+C9/C8*100</f>
        <v>38.316808486481939</v>
      </c>
      <c r="D10" s="100">
        <f t="shared" ref="D10:I10" si="2">+D9/D8*100</f>
        <v>39.845869028715455</v>
      </c>
      <c r="E10" s="100">
        <f t="shared" si="2"/>
        <v>39.713163353368294</v>
      </c>
      <c r="F10" s="100">
        <f t="shared" si="2"/>
        <v>39.967846790602749</v>
      </c>
      <c r="G10" s="100">
        <f t="shared" si="2"/>
        <v>40.290689186712655</v>
      </c>
      <c r="H10" s="100">
        <f t="shared" si="2"/>
        <v>39.885594386219466</v>
      </c>
      <c r="I10" s="100">
        <f t="shared" si="2"/>
        <v>39.882441891528977</v>
      </c>
    </row>
    <row r="11" spans="1:11" s="145" customFormat="1" ht="15" x14ac:dyDescent="0.25"/>
    <row r="12" spans="1:11" ht="15" x14ac:dyDescent="0.25">
      <c r="B12" s="42" t="s">
        <v>423</v>
      </c>
      <c r="C12" s="42">
        <v>2014</v>
      </c>
      <c r="D12" s="42">
        <v>2015</v>
      </c>
      <c r="E12" s="42">
        <v>2016</v>
      </c>
      <c r="F12" s="42">
        <v>2017</v>
      </c>
      <c r="G12" s="42">
        <v>2018</v>
      </c>
      <c r="H12" s="42">
        <v>2019</v>
      </c>
      <c r="I12" s="42">
        <v>2020</v>
      </c>
    </row>
    <row r="13" spans="1:11" s="145" customFormat="1" ht="15" x14ac:dyDescent="0.25">
      <c r="A13" s="145" t="s">
        <v>416</v>
      </c>
      <c r="B13" s="145" t="s">
        <v>419</v>
      </c>
      <c r="C13" s="162">
        <f>+C4/C19/10</f>
        <v>0.73522513532447775</v>
      </c>
      <c r="D13" s="162">
        <f>+D4/D19/10</f>
        <v>0.73923869674943976</v>
      </c>
      <c r="E13" s="162">
        <f>+E4/E19/10</f>
        <v>0.69588555162511012</v>
      </c>
      <c r="F13" s="162">
        <f t="shared" ref="F13:I13" si="3">+F4/F19/10</f>
        <v>0.65881607850629664</v>
      </c>
      <c r="G13" s="162">
        <f t="shared" si="3"/>
        <v>0.63660653721451044</v>
      </c>
      <c r="H13" s="162">
        <f t="shared" si="3"/>
        <v>0.62492263531234726</v>
      </c>
      <c r="I13" s="162">
        <f t="shared" si="3"/>
        <v>0.61719423904347948</v>
      </c>
    </row>
    <row r="14" spans="1:11" s="145" customFormat="1" ht="15" x14ac:dyDescent="0.25">
      <c r="A14" s="145" t="s">
        <v>417</v>
      </c>
      <c r="B14" s="2" t="s">
        <v>420</v>
      </c>
      <c r="C14" s="162">
        <f>+C6/C19/10</f>
        <v>2.1016647269573085E-2</v>
      </c>
      <c r="D14" s="162">
        <f>+D6/D19/10</f>
        <v>3.8462186717714619E-2</v>
      </c>
      <c r="E14" s="162">
        <f>+E6/E19/10</f>
        <v>2.5906981105067277E-2</v>
      </c>
      <c r="F14" s="162">
        <f t="shared" ref="F14:I14" si="4">+F6/F19/10</f>
        <v>2.7192853566958698E-2</v>
      </c>
      <c r="G14" s="162">
        <f t="shared" si="4"/>
        <v>2.6998441896509472E-2</v>
      </c>
      <c r="H14" s="162">
        <f t="shared" si="4"/>
        <v>2.3270843921842459E-2</v>
      </c>
      <c r="I14" s="162">
        <f t="shared" si="4"/>
        <v>2.1273407345772134E-2</v>
      </c>
    </row>
    <row r="15" spans="1:11" s="145" customFormat="1" ht="15" x14ac:dyDescent="0.25">
      <c r="A15" s="145" t="s">
        <v>418</v>
      </c>
      <c r="B15" s="145" t="s">
        <v>422</v>
      </c>
      <c r="C15" s="162">
        <f>+C7/C19/10</f>
        <v>0.15775214964549705</v>
      </c>
      <c r="D15" s="162">
        <f>+D7/D19/10</f>
        <v>0.15355264320424092</v>
      </c>
      <c r="E15" s="162">
        <f>+E7/E19/10</f>
        <v>0.16515888920698538</v>
      </c>
      <c r="F15" s="162">
        <f t="shared" ref="F15:I15" si="5">+F7/F19/10</f>
        <v>0.15725907384230287</v>
      </c>
      <c r="G15" s="162">
        <f t="shared" si="5"/>
        <v>0.15448529172707973</v>
      </c>
      <c r="H15" s="162">
        <f t="shared" si="5"/>
        <v>0.15176714352837115</v>
      </c>
      <c r="I15" s="162">
        <f t="shared" si="5"/>
        <v>0.14868819072782111</v>
      </c>
    </row>
    <row r="16" spans="1:11" s="145" customFormat="1" ht="15" x14ac:dyDescent="0.25">
      <c r="B16" s="42" t="s">
        <v>421</v>
      </c>
      <c r="C16" s="146">
        <f>+C8/C19/10</f>
        <v>0.91399393223954795</v>
      </c>
      <c r="D16" s="146">
        <f>+D8/D19/10</f>
        <v>0.93125352667139527</v>
      </c>
      <c r="E16" s="146">
        <f>+E8/E19/10</f>
        <v>0.88695142193716292</v>
      </c>
      <c r="F16" s="146">
        <f t="shared" ref="F16:I16" si="6">+F8/F19/10</f>
        <v>0.84326800591555828</v>
      </c>
      <c r="G16" s="146">
        <f t="shared" si="6"/>
        <v>0.8180902708380996</v>
      </c>
      <c r="H16" s="146">
        <f t="shared" si="6"/>
        <v>0.79996062276256086</v>
      </c>
      <c r="I16" s="146">
        <f t="shared" si="6"/>
        <v>0.78715583711707282</v>
      </c>
    </row>
    <row r="17" spans="2:10" ht="15" x14ac:dyDescent="0.25">
      <c r="B17" s="58" t="s">
        <v>429</v>
      </c>
      <c r="C17" s="154">
        <f>+C9/C19/10</f>
        <v>0.35021330459429312</v>
      </c>
      <c r="D17" s="154">
        <f>+D9/D19/10</f>
        <v>0.37106606056277797</v>
      </c>
      <c r="E17" s="154">
        <f>+E9/E19/10</f>
        <v>0.35223646705892842</v>
      </c>
      <c r="F17" s="154">
        <f t="shared" ref="F17:I17" si="7">+F9/F19/10</f>
        <v>0.33703606463850122</v>
      </c>
      <c r="G17" s="154">
        <f t="shared" si="7"/>
        <v>0.32961420829011445</v>
      </c>
      <c r="H17" s="154">
        <f t="shared" si="7"/>
        <v>0.31906904924455032</v>
      </c>
      <c r="I17" s="154">
        <f t="shared" si="7"/>
        <v>0.31393696933399506</v>
      </c>
    </row>
    <row r="18" spans="2:10" x14ac:dyDescent="0.2">
      <c r="B18" s="153"/>
    </row>
    <row r="19" spans="2:10" s="145" customFormat="1" ht="15" x14ac:dyDescent="0.25">
      <c r="B19" s="2" t="s">
        <v>275</v>
      </c>
      <c r="C19" s="219">
        <v>662.9</v>
      </c>
      <c r="D19" s="2">
        <v>679.1</v>
      </c>
      <c r="E19" s="2">
        <v>698.6</v>
      </c>
      <c r="F19" s="219">
        <v>719.1</v>
      </c>
      <c r="G19" s="216">
        <f>+F19*1.018</f>
        <v>732.04380000000003</v>
      </c>
      <c r="H19" s="216">
        <f>+G19*1.018</f>
        <v>745.2205884</v>
      </c>
      <c r="I19" s="216">
        <f>+H19*1.018</f>
        <v>758.63455899120004</v>
      </c>
    </row>
    <row r="20" spans="2:10" s="145" customFormat="1" ht="15" x14ac:dyDescent="0.25">
      <c r="F20" s="163"/>
      <c r="G20" s="163"/>
      <c r="H20" s="163"/>
      <c r="I20" s="163"/>
    </row>
    <row r="21" spans="2:10" x14ac:dyDescent="0.2">
      <c r="B21" s="4" t="s">
        <v>525</v>
      </c>
    </row>
    <row r="22" spans="2:10" x14ac:dyDescent="0.2">
      <c r="B22" s="4" t="s">
        <v>526</v>
      </c>
      <c r="J22" s="141" t="s">
        <v>231</v>
      </c>
    </row>
    <row r="23" spans="2:10" x14ac:dyDescent="0.2">
      <c r="B23" s="4" t="s">
        <v>527</v>
      </c>
    </row>
    <row r="24" spans="2:10" x14ac:dyDescent="0.2">
      <c r="B24" s="224" t="s">
        <v>524</v>
      </c>
      <c r="C24" s="225"/>
      <c r="D24" s="225"/>
      <c r="E24" s="225"/>
      <c r="F24" s="225"/>
      <c r="G24" s="225"/>
      <c r="H24" s="225"/>
      <c r="I24" s="225"/>
    </row>
    <row r="25" spans="2:10" x14ac:dyDescent="0.2">
      <c r="C25" s="109"/>
      <c r="D25" s="109"/>
      <c r="E25" s="109"/>
      <c r="F25" s="109"/>
      <c r="G25" s="109"/>
      <c r="H25" s="109"/>
      <c r="I25" s="109"/>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7"/>
  <sheetViews>
    <sheetView zoomScaleNormal="100" workbookViewId="0">
      <pane xSplit="2" topLeftCell="C1" activePane="topRight" state="frozen"/>
      <selection activeCell="A130" sqref="A130"/>
      <selection pane="topRight" activeCell="C1" sqref="C1"/>
    </sheetView>
  </sheetViews>
  <sheetFormatPr defaultRowHeight="12.75" x14ac:dyDescent="0.2"/>
  <cols>
    <col min="1" max="1" width="13.7109375" style="4" customWidth="1"/>
    <col min="2" max="2" width="51.5703125" style="4" customWidth="1"/>
    <col min="3" max="3" width="10.28515625" style="4" customWidth="1"/>
    <col min="4" max="4" width="10.140625" style="4" bestFit="1" customWidth="1"/>
    <col min="5" max="5" width="10.85546875" style="4" bestFit="1" customWidth="1"/>
    <col min="6" max="9" width="10.140625" style="4" bestFit="1" customWidth="1"/>
    <col min="10" max="10" width="10.85546875" style="4" customWidth="1"/>
    <col min="11" max="11" width="9.140625" style="4"/>
    <col min="12" max="12" width="17.85546875" style="4" customWidth="1"/>
    <col min="13" max="13" width="12.42578125" style="4" customWidth="1"/>
    <col min="14" max="14" width="6.28515625" style="4" customWidth="1"/>
    <col min="15" max="15" width="10.5703125" style="13" bestFit="1" customWidth="1"/>
    <col min="16" max="22" width="9.140625" style="5"/>
    <col min="23" max="16384" width="9.140625" style="4"/>
  </cols>
  <sheetData>
    <row r="1" spans="1:22" ht="18.75" x14ac:dyDescent="0.3">
      <c r="A1" s="28" t="s">
        <v>443</v>
      </c>
      <c r="B1" s="24"/>
      <c r="C1" s="24"/>
      <c r="D1" s="24"/>
      <c r="E1" s="24"/>
      <c r="F1" s="24"/>
      <c r="G1" s="24"/>
      <c r="H1" s="24"/>
      <c r="I1" s="24"/>
      <c r="J1" s="24"/>
      <c r="K1" s="24"/>
      <c r="L1" s="124"/>
      <c r="M1" s="24"/>
      <c r="N1" s="24"/>
    </row>
    <row r="3" spans="1:22" x14ac:dyDescent="0.2">
      <c r="A3" s="27" t="s">
        <v>117</v>
      </c>
      <c r="B3" s="25" t="s">
        <v>118</v>
      </c>
      <c r="C3" s="1" t="s">
        <v>347</v>
      </c>
      <c r="D3" s="25" t="s">
        <v>119</v>
      </c>
      <c r="E3" s="25" t="s">
        <v>120</v>
      </c>
      <c r="F3" s="25" t="s">
        <v>121</v>
      </c>
      <c r="G3" s="25"/>
      <c r="H3" s="25"/>
      <c r="I3" s="25"/>
      <c r="J3" s="25" t="s">
        <v>0</v>
      </c>
      <c r="K3" s="26" t="s">
        <v>122</v>
      </c>
      <c r="L3" s="25" t="s">
        <v>86</v>
      </c>
      <c r="M3" s="25" t="s">
        <v>1</v>
      </c>
      <c r="N3" s="25" t="s">
        <v>2</v>
      </c>
      <c r="O3" s="76" t="s">
        <v>364</v>
      </c>
      <c r="P3" s="5" t="s">
        <v>535</v>
      </c>
    </row>
    <row r="4" spans="1:22" x14ac:dyDescent="0.2">
      <c r="A4" s="27"/>
      <c r="B4" s="25"/>
      <c r="C4" s="1">
        <v>2014</v>
      </c>
      <c r="D4" s="1">
        <v>2015</v>
      </c>
      <c r="E4" s="1">
        <v>2016</v>
      </c>
      <c r="F4" s="1">
        <v>2017</v>
      </c>
      <c r="G4" s="1">
        <v>2018</v>
      </c>
      <c r="H4" s="1">
        <v>2019</v>
      </c>
      <c r="I4" s="1">
        <v>2020</v>
      </c>
      <c r="J4" s="25"/>
      <c r="K4" s="26"/>
      <c r="L4" s="25"/>
      <c r="M4" s="25"/>
      <c r="N4" s="25"/>
      <c r="O4" s="76" t="s">
        <v>365</v>
      </c>
      <c r="P4" s="1">
        <v>2014</v>
      </c>
      <c r="Q4" s="1">
        <v>2015</v>
      </c>
      <c r="R4" s="1">
        <v>2016</v>
      </c>
      <c r="S4" s="1">
        <v>2017</v>
      </c>
      <c r="T4" s="1">
        <v>2018</v>
      </c>
      <c r="U4" s="1">
        <v>2019</v>
      </c>
      <c r="V4" s="1">
        <v>2020</v>
      </c>
    </row>
    <row r="5" spans="1:22" s="1" customFormat="1" x14ac:dyDescent="0.2">
      <c r="O5" s="76"/>
      <c r="P5" s="71"/>
      <c r="Q5" s="71"/>
      <c r="R5" s="71"/>
      <c r="S5" s="71"/>
      <c r="T5" s="71"/>
      <c r="U5" s="71"/>
      <c r="V5" s="71"/>
    </row>
    <row r="6" spans="1:22" s="3" customFormat="1" ht="15" x14ac:dyDescent="0.25">
      <c r="A6" s="15"/>
      <c r="B6" s="15" t="s">
        <v>65</v>
      </c>
      <c r="C6" s="15"/>
      <c r="D6" s="15"/>
      <c r="E6" s="15"/>
      <c r="F6" s="15"/>
      <c r="G6" s="15"/>
      <c r="H6" s="15"/>
      <c r="I6" s="15"/>
      <c r="J6" s="15"/>
      <c r="K6" s="15"/>
      <c r="L6" s="14"/>
      <c r="M6" s="15"/>
      <c r="N6" s="15"/>
      <c r="O6" s="15"/>
      <c r="P6" s="6"/>
      <c r="Q6" s="6"/>
      <c r="R6" s="6"/>
      <c r="S6" s="6"/>
      <c r="T6" s="6"/>
      <c r="U6" s="6"/>
      <c r="V6" s="6"/>
    </row>
    <row r="7" spans="1:22" ht="25.5" x14ac:dyDescent="0.2">
      <c r="A7" s="7" t="s">
        <v>96</v>
      </c>
      <c r="B7" s="21" t="s">
        <v>94</v>
      </c>
      <c r="C7" s="124">
        <v>0.45200000000000001</v>
      </c>
      <c r="D7" s="124">
        <v>0.68899999999999995</v>
      </c>
      <c r="E7" s="124">
        <v>0.59399999999999997</v>
      </c>
      <c r="F7" s="124">
        <v>0.59399999999999997</v>
      </c>
      <c r="G7" s="124">
        <v>0.59399999999999997</v>
      </c>
      <c r="H7" s="124">
        <v>0.59399999999999997</v>
      </c>
      <c r="I7" s="124">
        <v>0.59399999999999997</v>
      </c>
      <c r="J7" s="4">
        <v>100</v>
      </c>
      <c r="K7" s="4">
        <v>11</v>
      </c>
      <c r="L7" s="124" t="s">
        <v>95</v>
      </c>
      <c r="M7" s="4" t="s">
        <v>12</v>
      </c>
      <c r="N7" s="4" t="s">
        <v>63</v>
      </c>
      <c r="O7" s="13">
        <v>0</v>
      </c>
    </row>
    <row r="8" spans="1:22" s="3" customFormat="1" ht="15" x14ac:dyDescent="0.25">
      <c r="A8" s="92"/>
      <c r="B8" s="22" t="s">
        <v>101</v>
      </c>
      <c r="C8" s="131">
        <f>C7</f>
        <v>0.45200000000000001</v>
      </c>
      <c r="D8" s="131">
        <f t="shared" ref="D8:I8" si="0">D7</f>
        <v>0.68899999999999995</v>
      </c>
      <c r="E8" s="131">
        <f t="shared" si="0"/>
        <v>0.59399999999999997</v>
      </c>
      <c r="F8" s="131">
        <f t="shared" si="0"/>
        <v>0.59399999999999997</v>
      </c>
      <c r="G8" s="131">
        <f t="shared" si="0"/>
        <v>0.59399999999999997</v>
      </c>
      <c r="H8" s="131">
        <f t="shared" si="0"/>
        <v>0.59399999999999997</v>
      </c>
      <c r="I8" s="131">
        <f t="shared" si="0"/>
        <v>0.59399999999999997</v>
      </c>
      <c r="J8" s="1"/>
      <c r="K8" s="1"/>
      <c r="L8" s="25"/>
      <c r="M8" s="1"/>
      <c r="N8" s="1"/>
      <c r="O8" s="76"/>
      <c r="P8" s="6"/>
      <c r="Q8" s="6"/>
      <c r="R8" s="6"/>
      <c r="S8" s="6"/>
      <c r="T8" s="6"/>
      <c r="U8" s="6"/>
      <c r="V8" s="6"/>
    </row>
    <row r="9" spans="1:22" s="1" customFormat="1" x14ac:dyDescent="0.2">
      <c r="C9" s="63"/>
      <c r="D9" s="63"/>
      <c r="E9" s="63"/>
      <c r="F9" s="63"/>
      <c r="G9" s="63"/>
      <c r="H9" s="63"/>
      <c r="I9" s="63"/>
      <c r="O9" s="76"/>
      <c r="P9" s="71"/>
      <c r="Q9" s="71"/>
      <c r="R9" s="71"/>
      <c r="S9" s="71"/>
      <c r="T9" s="71"/>
      <c r="U9" s="71"/>
      <c r="V9" s="71"/>
    </row>
    <row r="10" spans="1:22" s="3" customFormat="1" ht="15" x14ac:dyDescent="0.25">
      <c r="A10" s="15"/>
      <c r="B10" s="15" t="s">
        <v>66</v>
      </c>
      <c r="C10" s="64"/>
      <c r="D10" s="64"/>
      <c r="E10" s="64"/>
      <c r="F10" s="64"/>
      <c r="G10" s="64"/>
      <c r="H10" s="64"/>
      <c r="I10" s="64"/>
      <c r="J10" s="15"/>
      <c r="K10" s="15"/>
      <c r="L10" s="14"/>
      <c r="M10" s="15"/>
      <c r="N10" s="15"/>
      <c r="O10" s="15"/>
      <c r="P10" s="6"/>
      <c r="Q10" s="6"/>
      <c r="R10" s="6"/>
      <c r="S10" s="6"/>
      <c r="T10" s="6"/>
      <c r="U10" s="6"/>
      <c r="V10" s="6"/>
    </row>
    <row r="11" spans="1:22" s="7" customFormat="1" x14ac:dyDescent="0.2">
      <c r="A11" s="7" t="s">
        <v>228</v>
      </c>
      <c r="B11" s="7" t="s">
        <v>229</v>
      </c>
      <c r="C11" s="215">
        <v>0.24099999999999999</v>
      </c>
      <c r="D11" s="215">
        <v>0.23199999999999998</v>
      </c>
      <c r="E11" s="215">
        <v>0.23199999999999998</v>
      </c>
      <c r="F11" s="215">
        <v>0.23199999999999998</v>
      </c>
      <c r="G11" s="215">
        <v>0.23199999999999998</v>
      </c>
      <c r="H11" s="215">
        <v>0.23199999999999998</v>
      </c>
      <c r="I11" s="215">
        <v>0.23199999999999998</v>
      </c>
      <c r="J11" s="7">
        <v>10</v>
      </c>
      <c r="K11" s="133">
        <v>11</v>
      </c>
      <c r="L11" s="133" t="s">
        <v>95</v>
      </c>
      <c r="M11" s="7" t="s">
        <v>10</v>
      </c>
      <c r="N11" s="7" t="s">
        <v>62</v>
      </c>
      <c r="O11" s="78"/>
      <c r="P11" s="72"/>
      <c r="Q11" s="72"/>
      <c r="R11" s="72"/>
      <c r="S11" s="72"/>
      <c r="T11" s="72"/>
      <c r="U11" s="72"/>
      <c r="V11" s="72"/>
    </row>
    <row r="12" spans="1:22" s="7" customFormat="1" x14ac:dyDescent="0.2">
      <c r="A12" s="7" t="s">
        <v>399</v>
      </c>
      <c r="B12" s="7" t="s">
        <v>247</v>
      </c>
      <c r="C12" s="215">
        <v>0.20300000000000001</v>
      </c>
      <c r="D12" s="215">
        <v>0</v>
      </c>
      <c r="E12" s="215">
        <v>0</v>
      </c>
      <c r="F12" s="215">
        <v>0</v>
      </c>
      <c r="G12" s="215">
        <v>0</v>
      </c>
      <c r="H12" s="215">
        <v>0</v>
      </c>
      <c r="I12" s="215">
        <v>0</v>
      </c>
      <c r="J12" s="7">
        <v>25</v>
      </c>
      <c r="K12" s="133">
        <v>11</v>
      </c>
      <c r="L12" s="133" t="s">
        <v>95</v>
      </c>
      <c r="M12" s="7" t="s">
        <v>10</v>
      </c>
      <c r="N12" s="7" t="s">
        <v>62</v>
      </c>
      <c r="O12" s="78"/>
      <c r="P12" s="72"/>
      <c r="Q12" s="72"/>
      <c r="R12" s="72"/>
      <c r="S12" s="72"/>
      <c r="T12" s="72"/>
      <c r="U12" s="72"/>
      <c r="V12" s="72"/>
    </row>
    <row r="13" spans="1:22" s="7" customFormat="1" x14ac:dyDescent="0.2">
      <c r="A13" s="7" t="s">
        <v>400</v>
      </c>
      <c r="B13" s="7" t="s">
        <v>230</v>
      </c>
      <c r="C13" s="215">
        <v>7.2709999999999999</v>
      </c>
      <c r="D13" s="215">
        <v>4.3630000000000004</v>
      </c>
      <c r="E13" s="215">
        <v>4</v>
      </c>
      <c r="F13" s="215">
        <v>4</v>
      </c>
      <c r="G13" s="215">
        <v>4</v>
      </c>
      <c r="H13" s="215">
        <v>4</v>
      </c>
      <c r="I13" s="215">
        <v>4</v>
      </c>
      <c r="J13" s="7">
        <v>100</v>
      </c>
      <c r="K13" s="133">
        <v>11</v>
      </c>
      <c r="L13" s="133" t="s">
        <v>95</v>
      </c>
      <c r="M13" s="7" t="s">
        <v>15</v>
      </c>
      <c r="N13" s="7" t="s">
        <v>63</v>
      </c>
      <c r="O13" s="78"/>
      <c r="P13" s="72"/>
      <c r="Q13" s="72"/>
      <c r="R13" s="72"/>
      <c r="S13" s="72"/>
      <c r="T13" s="72"/>
      <c r="U13" s="72"/>
      <c r="V13" s="72"/>
    </row>
    <row r="14" spans="1:22" s="7" customFormat="1" x14ac:dyDescent="0.2">
      <c r="A14" s="7" t="s">
        <v>255</v>
      </c>
      <c r="B14" s="7" t="s">
        <v>401</v>
      </c>
      <c r="C14" s="69">
        <v>23.916</v>
      </c>
      <c r="D14" s="69">
        <v>26.035</v>
      </c>
      <c r="E14" s="69">
        <v>23.641999999999999</v>
      </c>
      <c r="F14" s="69">
        <v>22.46</v>
      </c>
      <c r="G14" s="69">
        <v>22.46</v>
      </c>
      <c r="H14" s="69">
        <v>22.46</v>
      </c>
      <c r="I14" s="69">
        <v>22.46</v>
      </c>
      <c r="J14" s="7">
        <v>5</v>
      </c>
      <c r="K14" s="133">
        <v>11</v>
      </c>
      <c r="L14" s="133" t="s">
        <v>95</v>
      </c>
      <c r="M14" s="7" t="s">
        <v>15</v>
      </c>
      <c r="N14" s="7" t="s">
        <v>63</v>
      </c>
      <c r="O14" s="78"/>
      <c r="P14" s="72"/>
      <c r="Q14" s="72"/>
      <c r="R14" s="72"/>
      <c r="S14" s="72"/>
      <c r="T14" s="72"/>
      <c r="U14" s="72"/>
      <c r="V14" s="72"/>
    </row>
    <row r="15" spans="1:22" x14ac:dyDescent="0.2">
      <c r="A15" s="4" t="s">
        <v>402</v>
      </c>
      <c r="B15" s="4" t="s">
        <v>403</v>
      </c>
      <c r="C15" s="66">
        <v>6.25</v>
      </c>
      <c r="D15" s="66">
        <v>8.3089999999999993</v>
      </c>
      <c r="E15" s="66">
        <v>9.3810000000000002</v>
      </c>
      <c r="F15" s="66">
        <v>9.1310000000000002</v>
      </c>
      <c r="G15" s="66">
        <v>9.1310000000000002</v>
      </c>
      <c r="H15" s="66">
        <v>9.1310000000000002</v>
      </c>
      <c r="I15" s="66">
        <v>9.1310000000000002</v>
      </c>
      <c r="J15" s="4">
        <v>5</v>
      </c>
      <c r="K15" s="133">
        <v>11</v>
      </c>
      <c r="L15" s="133" t="s">
        <v>95</v>
      </c>
      <c r="M15" s="7" t="s">
        <v>15</v>
      </c>
      <c r="N15" s="7" t="s">
        <v>63</v>
      </c>
    </row>
    <row r="16" spans="1:22" x14ac:dyDescent="0.2">
      <c r="A16" s="4" t="s">
        <v>404</v>
      </c>
      <c r="B16" s="4" t="s">
        <v>405</v>
      </c>
      <c r="C16" s="66">
        <v>4.9630000000000001</v>
      </c>
      <c r="D16" s="66">
        <v>6.1749999999999998</v>
      </c>
      <c r="E16" s="66">
        <v>6.5449999999999999</v>
      </c>
      <c r="F16" s="66">
        <v>6.8780000000000001</v>
      </c>
      <c r="G16" s="66">
        <v>6.8780000000000001</v>
      </c>
      <c r="H16" s="66">
        <v>6.8780000000000001</v>
      </c>
      <c r="I16" s="66">
        <v>6.8780000000000001</v>
      </c>
      <c r="J16" s="4">
        <v>5</v>
      </c>
      <c r="K16" s="133">
        <v>11</v>
      </c>
      <c r="L16" s="133" t="s">
        <v>95</v>
      </c>
      <c r="M16" s="7" t="s">
        <v>15</v>
      </c>
      <c r="N16" s="7" t="s">
        <v>63</v>
      </c>
    </row>
    <row r="17" spans="1:22" s="3" customFormat="1" ht="15" x14ac:dyDescent="0.25">
      <c r="B17" s="3" t="s">
        <v>102</v>
      </c>
      <c r="C17" s="12">
        <f>SUM(C11:C16)</f>
        <v>42.844000000000001</v>
      </c>
      <c r="D17" s="12">
        <f t="shared" ref="D17:I17" si="1">SUM(D11:D16)</f>
        <v>45.113999999999997</v>
      </c>
      <c r="E17" s="12">
        <f t="shared" si="1"/>
        <v>43.8</v>
      </c>
      <c r="F17" s="12">
        <f t="shared" si="1"/>
        <v>42.701000000000001</v>
      </c>
      <c r="G17" s="12">
        <f t="shared" si="1"/>
        <v>42.701000000000001</v>
      </c>
      <c r="H17" s="12">
        <f t="shared" si="1"/>
        <v>42.701000000000001</v>
      </c>
      <c r="I17" s="12">
        <f t="shared" si="1"/>
        <v>42.701000000000001</v>
      </c>
      <c r="O17" s="77"/>
      <c r="P17" s="6"/>
      <c r="Q17" s="6"/>
      <c r="R17" s="6"/>
      <c r="S17" s="6"/>
      <c r="T17" s="6"/>
      <c r="U17" s="6"/>
      <c r="V17" s="6"/>
    </row>
    <row r="18" spans="1:22" s="1" customFormat="1" x14ac:dyDescent="0.2">
      <c r="C18" s="63"/>
      <c r="D18" s="63"/>
      <c r="E18" s="63"/>
      <c r="F18" s="63"/>
      <c r="G18" s="63"/>
      <c r="H18" s="63"/>
      <c r="I18" s="63"/>
      <c r="O18" s="76"/>
      <c r="P18" s="71"/>
      <c r="Q18" s="71"/>
      <c r="R18" s="71"/>
      <c r="S18" s="71"/>
      <c r="T18" s="71"/>
      <c r="U18" s="71"/>
      <c r="V18" s="71"/>
    </row>
    <row r="19" spans="1:22" s="1" customFormat="1" ht="15" x14ac:dyDescent="0.25">
      <c r="A19" s="14"/>
      <c r="B19" s="15" t="s">
        <v>67</v>
      </c>
      <c r="C19" s="65"/>
      <c r="D19" s="65"/>
      <c r="E19" s="65"/>
      <c r="F19" s="65"/>
      <c r="G19" s="65"/>
      <c r="H19" s="65"/>
      <c r="I19" s="65"/>
      <c r="J19" s="14"/>
      <c r="K19" s="14"/>
      <c r="L19" s="14"/>
      <c r="M19" s="14"/>
      <c r="N19" s="14"/>
      <c r="O19" s="14"/>
      <c r="P19" s="71"/>
      <c r="Q19" s="71"/>
      <c r="R19" s="71"/>
      <c r="S19" s="71"/>
      <c r="T19" s="71"/>
      <c r="U19" s="71"/>
      <c r="V19" s="71"/>
    </row>
    <row r="20" spans="1:22" x14ac:dyDescent="0.2">
      <c r="A20" s="168" t="s">
        <v>107</v>
      </c>
      <c r="B20" s="133" t="s">
        <v>109</v>
      </c>
      <c r="C20" s="134">
        <v>0.34</v>
      </c>
      <c r="D20" s="134">
        <v>0</v>
      </c>
      <c r="E20" s="134">
        <v>0</v>
      </c>
      <c r="F20" s="134">
        <v>0</v>
      </c>
      <c r="G20" s="134">
        <v>0</v>
      </c>
      <c r="H20" s="134">
        <v>0</v>
      </c>
      <c r="I20" s="134">
        <v>0</v>
      </c>
      <c r="J20" s="133">
        <v>100</v>
      </c>
      <c r="K20" s="133">
        <v>11</v>
      </c>
      <c r="L20" s="133" t="s">
        <v>95</v>
      </c>
      <c r="M20" s="133" t="s">
        <v>110</v>
      </c>
      <c r="N20" s="133" t="s">
        <v>62</v>
      </c>
      <c r="O20" s="13">
        <v>10</v>
      </c>
      <c r="P20" s="5">
        <f t="shared" ref="P20" si="2">+$O20/100*C20</f>
        <v>3.4000000000000002E-2</v>
      </c>
      <c r="Q20" s="5">
        <f t="shared" ref="Q20" si="3">+$O20/100*D20</f>
        <v>0</v>
      </c>
      <c r="R20" s="5">
        <f t="shared" ref="R20" si="4">+$O20/100*E20</f>
        <v>0</v>
      </c>
      <c r="S20" s="5">
        <f t="shared" ref="S20" si="5">+$O20/100*F20</f>
        <v>0</v>
      </c>
      <c r="T20" s="5">
        <f t="shared" ref="T20" si="6">+$O20/100*G20</f>
        <v>0</v>
      </c>
      <c r="U20" s="5">
        <f t="shared" ref="U20" si="7">+$O20/100*H20</f>
        <v>0</v>
      </c>
      <c r="V20" s="5">
        <f t="shared" ref="V20" si="8">+$O20/100*I20</f>
        <v>0</v>
      </c>
    </row>
    <row r="21" spans="1:22" x14ac:dyDescent="0.2">
      <c r="A21" s="168" t="s">
        <v>107</v>
      </c>
      <c r="B21" s="133" t="s">
        <v>111</v>
      </c>
      <c r="C21" s="134">
        <v>2.37</v>
      </c>
      <c r="D21" s="134">
        <v>2.5760000000000001</v>
      </c>
      <c r="E21" s="134">
        <v>2.3969999999999998</v>
      </c>
      <c r="F21" s="134">
        <v>2.3959999999999999</v>
      </c>
      <c r="G21" s="134">
        <v>2.3849999999999998</v>
      </c>
      <c r="H21" s="134">
        <v>2.3849999999999998</v>
      </c>
      <c r="I21" s="134">
        <v>2.3849999999999998</v>
      </c>
      <c r="J21" s="133">
        <v>10</v>
      </c>
      <c r="K21" s="133">
        <v>11</v>
      </c>
      <c r="L21" s="133" t="s">
        <v>95</v>
      </c>
      <c r="M21" s="133" t="s">
        <v>112</v>
      </c>
      <c r="N21" s="4" t="s">
        <v>63</v>
      </c>
      <c r="O21" s="13">
        <v>0</v>
      </c>
    </row>
    <row r="22" spans="1:22" x14ac:dyDescent="0.2">
      <c r="A22" s="168" t="s">
        <v>107</v>
      </c>
      <c r="B22" s="133" t="s">
        <v>113</v>
      </c>
      <c r="C22" s="134">
        <v>2.37</v>
      </c>
      <c r="D22" s="134">
        <v>2.5760000000000001</v>
      </c>
      <c r="E22" s="134">
        <v>2.3959999999999999</v>
      </c>
      <c r="F22" s="134">
        <v>2.3959999999999999</v>
      </c>
      <c r="G22" s="134">
        <v>2.3860000000000001</v>
      </c>
      <c r="H22" s="134">
        <v>2.3860000000000001</v>
      </c>
      <c r="I22" s="134">
        <v>2.3860000000000001</v>
      </c>
      <c r="J22" s="133">
        <v>10</v>
      </c>
      <c r="K22" s="133">
        <v>11</v>
      </c>
      <c r="L22" s="133" t="s">
        <v>95</v>
      </c>
      <c r="M22" s="133" t="s">
        <v>10</v>
      </c>
      <c r="N22" s="4" t="s">
        <v>63</v>
      </c>
      <c r="O22" s="13">
        <v>0</v>
      </c>
    </row>
    <row r="23" spans="1:22" x14ac:dyDescent="0.2">
      <c r="A23" s="168" t="s">
        <v>107</v>
      </c>
      <c r="B23" s="133" t="s">
        <v>114</v>
      </c>
      <c r="C23" s="134">
        <v>6.4560000000000004</v>
      </c>
      <c r="D23" s="134">
        <v>6.7</v>
      </c>
      <c r="E23" s="134">
        <v>6.7</v>
      </c>
      <c r="F23" s="134">
        <v>6.7</v>
      </c>
      <c r="G23" s="134">
        <v>6.7</v>
      </c>
      <c r="H23" s="134">
        <v>6.7</v>
      </c>
      <c r="I23" s="134">
        <v>6.7</v>
      </c>
      <c r="J23" s="133">
        <v>15</v>
      </c>
      <c r="K23" s="133">
        <v>11</v>
      </c>
      <c r="L23" s="133" t="s">
        <v>95</v>
      </c>
      <c r="M23" s="133" t="s">
        <v>12</v>
      </c>
      <c r="N23" s="133" t="s">
        <v>62</v>
      </c>
      <c r="O23" s="13">
        <v>0</v>
      </c>
    </row>
    <row r="24" spans="1:22" x14ac:dyDescent="0.2">
      <c r="A24" s="168" t="s">
        <v>444</v>
      </c>
      <c r="B24" s="124" t="s">
        <v>116</v>
      </c>
      <c r="C24" s="125">
        <v>9.7434892569616185</v>
      </c>
      <c r="D24" s="125">
        <v>9.5330091022814898</v>
      </c>
      <c r="E24" s="125">
        <v>9.2376110920924788</v>
      </c>
      <c r="F24" s="125">
        <v>8.8946010193275509</v>
      </c>
      <c r="G24" s="125">
        <v>8.7310071335865125</v>
      </c>
      <c r="H24" s="125">
        <v>8.7658452281542569</v>
      </c>
      <c r="I24" s="125">
        <v>8.7757160216151195</v>
      </c>
      <c r="J24" s="167">
        <v>14.52</v>
      </c>
      <c r="K24" s="124">
        <v>11</v>
      </c>
      <c r="L24" s="124" t="s">
        <v>95</v>
      </c>
      <c r="M24" s="124" t="s">
        <v>12</v>
      </c>
      <c r="N24" s="124" t="s">
        <v>62</v>
      </c>
      <c r="O24" s="13">
        <v>80</v>
      </c>
      <c r="P24" s="5">
        <f>+$O24/100*C24</f>
        <v>7.7947914055692955</v>
      </c>
      <c r="Q24" s="5">
        <f t="shared" ref="Q24:V24" si="9">+$O24/100*D24</f>
        <v>7.626407281825192</v>
      </c>
      <c r="R24" s="5">
        <f t="shared" si="9"/>
        <v>7.3900888736739834</v>
      </c>
      <c r="S24" s="5">
        <f t="shared" si="9"/>
        <v>7.1156808154620412</v>
      </c>
      <c r="T24" s="5">
        <f t="shared" si="9"/>
        <v>6.98480570686921</v>
      </c>
      <c r="U24" s="5">
        <f t="shared" si="9"/>
        <v>7.0126761825234061</v>
      </c>
      <c r="V24" s="5">
        <f t="shared" si="9"/>
        <v>7.0205728172920958</v>
      </c>
    </row>
    <row r="25" spans="1:22" s="3" customFormat="1" ht="15" x14ac:dyDescent="0.25">
      <c r="A25" s="92"/>
      <c r="B25" s="3" t="s">
        <v>103</v>
      </c>
      <c r="C25" s="12">
        <f>SUM(C20:C24)</f>
        <v>21.279489256961618</v>
      </c>
      <c r="D25" s="12">
        <f t="shared" ref="D25:I25" si="10">SUM(D20:D24)</f>
        <v>21.38500910228149</v>
      </c>
      <c r="E25" s="12">
        <f t="shared" si="10"/>
        <v>20.730611092092477</v>
      </c>
      <c r="F25" s="12">
        <f t="shared" si="10"/>
        <v>20.38660101932755</v>
      </c>
      <c r="G25" s="12">
        <f t="shared" si="10"/>
        <v>20.202007133586513</v>
      </c>
      <c r="H25" s="12">
        <f t="shared" si="10"/>
        <v>20.236845228154259</v>
      </c>
      <c r="I25" s="12">
        <f t="shared" si="10"/>
        <v>20.246716021615121</v>
      </c>
      <c r="L25" s="1"/>
      <c r="O25" s="77"/>
      <c r="P25" s="6">
        <f t="shared" ref="P25:V25" si="11">SUM(P20:P24)</f>
        <v>7.8287914055692953</v>
      </c>
      <c r="Q25" s="6">
        <f t="shared" si="11"/>
        <v>7.626407281825192</v>
      </c>
      <c r="R25" s="6">
        <f t="shared" si="11"/>
        <v>7.3900888736739834</v>
      </c>
      <c r="S25" s="6">
        <f t="shared" si="11"/>
        <v>7.1156808154620412</v>
      </c>
      <c r="T25" s="6">
        <f t="shared" si="11"/>
        <v>6.98480570686921</v>
      </c>
      <c r="U25" s="6">
        <f t="shared" si="11"/>
        <v>7.0126761825234061</v>
      </c>
      <c r="V25" s="6">
        <f t="shared" si="11"/>
        <v>7.0205728172920958</v>
      </c>
    </row>
    <row r="26" spans="1:22" s="3" customFormat="1" ht="15" x14ac:dyDescent="0.25">
      <c r="C26" s="12"/>
      <c r="D26" s="12"/>
      <c r="E26" s="12"/>
      <c r="F26" s="12"/>
      <c r="G26" s="12"/>
      <c r="H26" s="12"/>
      <c r="I26" s="12"/>
      <c r="L26" s="1"/>
      <c r="O26" s="77"/>
      <c r="P26" s="6"/>
      <c r="Q26" s="6"/>
      <c r="R26" s="6"/>
      <c r="S26" s="6"/>
      <c r="T26" s="6"/>
      <c r="U26" s="6"/>
      <c r="V26" s="6"/>
    </row>
    <row r="27" spans="1:22" s="3" customFormat="1" ht="15" x14ac:dyDescent="0.25">
      <c r="A27" s="15"/>
      <c r="B27" s="15" t="s">
        <v>105</v>
      </c>
      <c r="C27" s="64"/>
      <c r="D27" s="64"/>
      <c r="E27" s="64"/>
      <c r="F27" s="64"/>
      <c r="G27" s="64"/>
      <c r="H27" s="64"/>
      <c r="I27" s="64"/>
      <c r="J27" s="15"/>
      <c r="K27" s="15"/>
      <c r="L27" s="14"/>
      <c r="M27" s="15"/>
      <c r="N27" s="15"/>
      <c r="O27" s="15"/>
      <c r="P27" s="6"/>
      <c r="Q27" s="6"/>
      <c r="R27" s="6"/>
      <c r="S27" s="6"/>
      <c r="T27" s="6"/>
      <c r="U27" s="6"/>
      <c r="V27" s="6"/>
    </row>
    <row r="28" spans="1:22" s="3" customFormat="1" ht="15" x14ac:dyDescent="0.25">
      <c r="A28" s="7" t="s">
        <v>399</v>
      </c>
      <c r="B28" s="133" t="s">
        <v>406</v>
      </c>
      <c r="C28" s="134">
        <v>0.27200000000000002</v>
      </c>
      <c r="D28" s="134">
        <v>0.27500000000000002</v>
      </c>
      <c r="E28" s="134">
        <v>0.27500000000000002</v>
      </c>
      <c r="F28" s="134">
        <v>0.27500000000000002</v>
      </c>
      <c r="G28" s="134">
        <v>0.27500000000000002</v>
      </c>
      <c r="H28" s="134">
        <v>0.27500000000000002</v>
      </c>
      <c r="I28" s="134">
        <v>0.27500000000000002</v>
      </c>
      <c r="J28" s="133">
        <v>100</v>
      </c>
      <c r="K28" s="133">
        <v>11</v>
      </c>
      <c r="L28" s="133" t="s">
        <v>95</v>
      </c>
      <c r="M28" s="8" t="s">
        <v>22</v>
      </c>
      <c r="N28" s="133" t="s">
        <v>63</v>
      </c>
      <c r="O28" s="1"/>
      <c r="P28" s="6"/>
      <c r="Q28" s="6"/>
      <c r="R28" s="6"/>
      <c r="S28" s="6"/>
      <c r="T28" s="6"/>
      <c r="U28" s="6"/>
      <c r="V28" s="6"/>
    </row>
    <row r="29" spans="1:22" s="1" customFormat="1" x14ac:dyDescent="0.2">
      <c r="A29" s="168" t="s">
        <v>314</v>
      </c>
      <c r="B29" s="133" t="s">
        <v>373</v>
      </c>
      <c r="C29" s="134">
        <v>2.4689999999999999</v>
      </c>
      <c r="D29" s="134">
        <v>2.9329999999999998</v>
      </c>
      <c r="E29" s="134">
        <v>2.383</v>
      </c>
      <c r="F29" s="134">
        <v>2.383</v>
      </c>
      <c r="G29" s="134">
        <v>2.383</v>
      </c>
      <c r="H29" s="134">
        <v>2.383</v>
      </c>
      <c r="I29" s="134">
        <v>2.383</v>
      </c>
      <c r="J29" s="133">
        <v>100</v>
      </c>
      <c r="K29" s="133">
        <v>11</v>
      </c>
      <c r="L29" s="133" t="s">
        <v>95</v>
      </c>
      <c r="M29" s="8" t="s">
        <v>31</v>
      </c>
      <c r="N29" s="133" t="s">
        <v>63</v>
      </c>
      <c r="P29" s="71"/>
      <c r="Q29" s="71"/>
      <c r="R29" s="71"/>
      <c r="S29" s="71"/>
      <c r="T29" s="71"/>
      <c r="U29" s="71"/>
      <c r="V29" s="71"/>
    </row>
    <row r="30" spans="1:22" s="1" customFormat="1" x14ac:dyDescent="0.2">
      <c r="A30" s="168" t="s">
        <v>314</v>
      </c>
      <c r="B30" s="133" t="s">
        <v>407</v>
      </c>
      <c r="C30" s="134">
        <v>0.21199999999999999</v>
      </c>
      <c r="D30" s="134">
        <v>0.39500000000000002</v>
      </c>
      <c r="E30" s="134">
        <v>0.3</v>
      </c>
      <c r="F30" s="134">
        <v>0.3</v>
      </c>
      <c r="G30" s="134">
        <v>0.3</v>
      </c>
      <c r="H30" s="134">
        <v>0.3</v>
      </c>
      <c r="I30" s="134">
        <v>0.3</v>
      </c>
      <c r="J30" s="133">
        <v>100</v>
      </c>
      <c r="K30" s="133">
        <v>11</v>
      </c>
      <c r="L30" s="133" t="s">
        <v>95</v>
      </c>
      <c r="M30" s="8" t="s">
        <v>22</v>
      </c>
      <c r="N30" s="133" t="s">
        <v>63</v>
      </c>
      <c r="P30" s="71"/>
      <c r="Q30" s="71"/>
      <c r="R30" s="71"/>
      <c r="S30" s="71"/>
      <c r="T30" s="71"/>
      <c r="U30" s="71"/>
      <c r="V30" s="71"/>
    </row>
    <row r="31" spans="1:22" s="1" customFormat="1" x14ac:dyDescent="0.2">
      <c r="A31" s="168" t="s">
        <v>374</v>
      </c>
      <c r="B31" s="124" t="s">
        <v>375</v>
      </c>
      <c r="C31" s="125">
        <v>11.949</v>
      </c>
      <c r="D31" s="125">
        <v>12.845000000000001</v>
      </c>
      <c r="E31" s="125">
        <v>10.917</v>
      </c>
      <c r="F31" s="125">
        <v>10.831</v>
      </c>
      <c r="G31" s="125">
        <v>9.3680000000000003</v>
      </c>
      <c r="H31" s="125">
        <v>9.25</v>
      </c>
      <c r="I31" s="125">
        <v>9.8309999999999995</v>
      </c>
      <c r="J31" s="124">
        <v>80</v>
      </c>
      <c r="K31" s="124">
        <v>4</v>
      </c>
      <c r="L31" s="124" t="s">
        <v>534</v>
      </c>
      <c r="M31" s="8" t="s">
        <v>16</v>
      </c>
      <c r="N31" s="124" t="s">
        <v>63</v>
      </c>
      <c r="O31" s="4">
        <v>10</v>
      </c>
      <c r="P31" s="5">
        <f>+$O31/100*C31</f>
        <v>1.1949000000000001</v>
      </c>
      <c r="Q31" s="5">
        <f>+$O31/100*D31</f>
        <v>1.2845000000000002</v>
      </c>
      <c r="R31" s="5">
        <f t="shared" ref="R31:V31" si="12">+$O31/100*E31</f>
        <v>1.0917000000000001</v>
      </c>
      <c r="S31" s="5">
        <f t="shared" si="12"/>
        <v>1.0831</v>
      </c>
      <c r="T31" s="5">
        <f t="shared" si="12"/>
        <v>0.93680000000000008</v>
      </c>
      <c r="U31" s="5">
        <f t="shared" si="12"/>
        <v>0.92500000000000004</v>
      </c>
      <c r="V31" s="5">
        <f t="shared" si="12"/>
        <v>0.98309999999999997</v>
      </c>
    </row>
    <row r="32" spans="1:22" s="1" customFormat="1" x14ac:dyDescent="0.2">
      <c r="A32" s="168" t="s">
        <v>374</v>
      </c>
      <c r="B32" s="124" t="s">
        <v>375</v>
      </c>
      <c r="C32" s="125">
        <v>0.19600000000000001</v>
      </c>
      <c r="D32" s="125">
        <v>0.21099999999999999</v>
      </c>
      <c r="E32" s="125">
        <v>0.17899999999999999</v>
      </c>
      <c r="F32" s="125">
        <v>0.17799999999999999</v>
      </c>
      <c r="G32" s="125">
        <v>0.154</v>
      </c>
      <c r="H32" s="125">
        <v>0.152</v>
      </c>
      <c r="I32" s="125">
        <v>0.17799999999999999</v>
      </c>
      <c r="J32" s="124">
        <v>80</v>
      </c>
      <c r="K32" s="124">
        <v>4</v>
      </c>
      <c r="L32" s="124" t="s">
        <v>534</v>
      </c>
      <c r="M32" s="8" t="s">
        <v>112</v>
      </c>
      <c r="N32" s="124" t="s">
        <v>63</v>
      </c>
      <c r="O32" s="4">
        <v>10</v>
      </c>
      <c r="P32" s="5">
        <f t="shared" ref="P32:P33" si="13">+$O32/100*C32</f>
        <v>1.9600000000000003E-2</v>
      </c>
      <c r="Q32" s="5">
        <f t="shared" ref="Q32:Q33" si="14">+$O32/100*D32</f>
        <v>2.1100000000000001E-2</v>
      </c>
      <c r="R32" s="5">
        <f t="shared" ref="R32:R33" si="15">+$O32/100*E32</f>
        <v>1.7899999999999999E-2</v>
      </c>
      <c r="S32" s="5">
        <f t="shared" ref="S32:S33" si="16">+$O32/100*F32</f>
        <v>1.78E-2</v>
      </c>
      <c r="T32" s="5">
        <f t="shared" ref="T32:T33" si="17">+$O32/100*G32</f>
        <v>1.54E-2</v>
      </c>
      <c r="U32" s="5">
        <f t="shared" ref="U32:U33" si="18">+$O32/100*H32</f>
        <v>1.52E-2</v>
      </c>
      <c r="V32" s="5">
        <f t="shared" ref="V32:V33" si="19">+$O32/100*I32</f>
        <v>1.78E-2</v>
      </c>
    </row>
    <row r="33" spans="1:23" s="1" customFormat="1" x14ac:dyDescent="0.2">
      <c r="A33" s="168" t="s">
        <v>374</v>
      </c>
      <c r="B33" s="124" t="s">
        <v>375</v>
      </c>
      <c r="C33" s="125">
        <v>4.6029999999999998</v>
      </c>
      <c r="D33" s="125">
        <v>4.9480000000000004</v>
      </c>
      <c r="E33" s="125">
        <v>4.2060000000000004</v>
      </c>
      <c r="F33" s="125">
        <v>4.173</v>
      </c>
      <c r="G33" s="125">
        <v>3.609</v>
      </c>
      <c r="H33" s="125">
        <v>3.5630000000000002</v>
      </c>
      <c r="I33" s="125">
        <v>4.173</v>
      </c>
      <c r="J33" s="124">
        <v>80</v>
      </c>
      <c r="K33" s="124">
        <v>4</v>
      </c>
      <c r="L33" s="124" t="s">
        <v>534</v>
      </c>
      <c r="M33" s="8" t="s">
        <v>10</v>
      </c>
      <c r="N33" s="124" t="s">
        <v>63</v>
      </c>
      <c r="O33" s="4">
        <v>10</v>
      </c>
      <c r="P33" s="5">
        <f t="shared" si="13"/>
        <v>0.46029999999999999</v>
      </c>
      <c r="Q33" s="5">
        <f t="shared" si="14"/>
        <v>0.49480000000000007</v>
      </c>
      <c r="R33" s="5">
        <f t="shared" si="15"/>
        <v>0.42060000000000008</v>
      </c>
      <c r="S33" s="5">
        <f t="shared" si="16"/>
        <v>0.4173</v>
      </c>
      <c r="T33" s="5">
        <f t="shared" si="17"/>
        <v>0.3609</v>
      </c>
      <c r="U33" s="5">
        <f t="shared" si="18"/>
        <v>0.35630000000000006</v>
      </c>
      <c r="V33" s="5">
        <f t="shared" si="19"/>
        <v>0.4173</v>
      </c>
    </row>
    <row r="34" spans="1:23" s="3" customFormat="1" ht="15" x14ac:dyDescent="0.25">
      <c r="A34" s="92"/>
      <c r="B34" s="3" t="s">
        <v>106</v>
      </c>
      <c r="C34" s="6">
        <f>SUM(C28:C33)</f>
        <v>19.701000000000001</v>
      </c>
      <c r="D34" s="6">
        <f t="shared" ref="D34:I34" si="20">SUM(D28:D33)</f>
        <v>21.606999999999999</v>
      </c>
      <c r="E34" s="6">
        <f t="shared" si="20"/>
        <v>18.260000000000002</v>
      </c>
      <c r="F34" s="6">
        <f t="shared" si="20"/>
        <v>18.14</v>
      </c>
      <c r="G34" s="6">
        <f t="shared" si="20"/>
        <v>16.088999999999999</v>
      </c>
      <c r="H34" s="6">
        <f t="shared" si="20"/>
        <v>15.923</v>
      </c>
      <c r="I34" s="6">
        <f t="shared" si="20"/>
        <v>17.14</v>
      </c>
      <c r="L34" s="1"/>
      <c r="O34" s="77"/>
      <c r="P34" s="6">
        <f>SUM(P31:P33)</f>
        <v>1.6748000000000001</v>
      </c>
      <c r="Q34" s="6">
        <f t="shared" ref="Q34:V34" si="21">SUM(Q31:Q33)</f>
        <v>1.8004000000000002</v>
      </c>
      <c r="R34" s="6">
        <f t="shared" si="21"/>
        <v>1.5302000000000002</v>
      </c>
      <c r="S34" s="6">
        <f t="shared" si="21"/>
        <v>1.5182</v>
      </c>
      <c r="T34" s="6">
        <f t="shared" si="21"/>
        <v>1.3130999999999999</v>
      </c>
      <c r="U34" s="6">
        <f t="shared" si="21"/>
        <v>1.2965</v>
      </c>
      <c r="V34" s="6">
        <f t="shared" si="21"/>
        <v>1.4181999999999999</v>
      </c>
    </row>
    <row r="35" spans="1:23" s="1" customFormat="1" x14ac:dyDescent="0.2">
      <c r="C35" s="63" t="s">
        <v>231</v>
      </c>
      <c r="D35" s="63"/>
      <c r="E35" s="63"/>
      <c r="F35" s="63"/>
      <c r="G35" s="63"/>
      <c r="H35" s="63"/>
      <c r="I35" s="63"/>
      <c r="O35" s="76"/>
      <c r="P35" s="71"/>
      <c r="Q35" s="71"/>
      <c r="R35" s="71"/>
      <c r="S35" s="71"/>
      <c r="T35" s="71"/>
      <c r="U35" s="71"/>
      <c r="V35" s="71"/>
    </row>
    <row r="36" spans="1:23" s="1" customFormat="1" ht="15" x14ac:dyDescent="0.25">
      <c r="A36" s="14"/>
      <c r="B36" s="15" t="s">
        <v>68</v>
      </c>
      <c r="C36" s="195"/>
      <c r="D36" s="65"/>
      <c r="E36" s="65"/>
      <c r="F36" s="65"/>
      <c r="G36" s="65"/>
      <c r="H36" s="65"/>
      <c r="I36" s="65"/>
      <c r="J36" s="14"/>
      <c r="K36" s="14"/>
      <c r="L36" s="14"/>
      <c r="M36" s="14"/>
      <c r="N36" s="14"/>
      <c r="O36" s="14"/>
      <c r="P36" s="71"/>
      <c r="Q36" s="71"/>
      <c r="R36" s="71"/>
      <c r="S36" s="71"/>
      <c r="T36" s="71"/>
      <c r="U36" s="71"/>
      <c r="V36" s="71"/>
    </row>
    <row r="37" spans="1:23" s="202" customFormat="1" x14ac:dyDescent="0.2">
      <c r="A37" s="203">
        <v>7</v>
      </c>
      <c r="B37" s="213" t="s">
        <v>130</v>
      </c>
      <c r="C37" s="214">
        <v>2371.7719999999999</v>
      </c>
      <c r="D37" s="214">
        <v>2404.0852234261938</v>
      </c>
      <c r="E37" s="214">
        <v>2394.2912653791063</v>
      </c>
      <c r="F37" s="214">
        <v>2384.5428633758447</v>
      </c>
      <c r="G37" s="214">
        <v>2363.4080608350196</v>
      </c>
      <c r="H37" s="214">
        <v>2364.0843763013168</v>
      </c>
      <c r="I37" s="214">
        <v>2375.4143047368029</v>
      </c>
      <c r="J37" s="204">
        <v>61</v>
      </c>
      <c r="K37" s="206">
        <v>12</v>
      </c>
      <c r="L37" s="204"/>
      <c r="M37" s="206"/>
      <c r="N37" s="204" t="s">
        <v>363</v>
      </c>
      <c r="O37" s="200"/>
      <c r="P37" s="201"/>
      <c r="Q37" s="201"/>
      <c r="R37" s="201"/>
      <c r="S37" s="201"/>
      <c r="T37" s="201"/>
      <c r="U37" s="201"/>
      <c r="V37" s="201"/>
    </row>
    <row r="38" spans="1:23" s="23" customFormat="1" x14ac:dyDescent="0.2">
      <c r="A38" s="203">
        <v>7</v>
      </c>
      <c r="B38" s="213" t="s">
        <v>131</v>
      </c>
      <c r="C38" s="214">
        <v>194.119</v>
      </c>
      <c r="D38" s="214">
        <v>195.16200000000001</v>
      </c>
      <c r="E38" s="214">
        <v>195.28800000000001</v>
      </c>
      <c r="F38" s="214">
        <v>195.60400000000001</v>
      </c>
      <c r="G38" s="214">
        <v>196.11</v>
      </c>
      <c r="H38" s="214">
        <v>196.584</v>
      </c>
      <c r="I38" s="214">
        <v>197.05799999999999</v>
      </c>
      <c r="J38" s="204">
        <v>31.6</v>
      </c>
      <c r="K38" s="206" t="s">
        <v>315</v>
      </c>
      <c r="L38" s="204"/>
      <c r="M38" s="206"/>
      <c r="N38" s="204" t="s">
        <v>363</v>
      </c>
      <c r="O38" s="79"/>
      <c r="P38" s="73"/>
      <c r="Q38" s="73"/>
      <c r="R38" s="73"/>
      <c r="S38" s="73"/>
      <c r="T38" s="73"/>
      <c r="U38" s="73"/>
      <c r="V38" s="73"/>
    </row>
    <row r="39" spans="1:23" s="23" customFormat="1" x14ac:dyDescent="0.2">
      <c r="A39" s="203">
        <v>6</v>
      </c>
      <c r="B39" s="213" t="s">
        <v>517</v>
      </c>
      <c r="C39" s="214">
        <v>69.200999999999993</v>
      </c>
      <c r="D39" s="214">
        <v>69.531000000000006</v>
      </c>
      <c r="E39" s="214">
        <v>69.201999999999998</v>
      </c>
      <c r="F39" s="214">
        <v>69.149000000000001</v>
      </c>
      <c r="G39" s="214">
        <v>69.149000000000001</v>
      </c>
      <c r="H39" s="214">
        <v>69.155000000000001</v>
      </c>
      <c r="I39" s="214">
        <v>69.155000000000001</v>
      </c>
      <c r="J39" s="204"/>
      <c r="K39" s="206">
        <v>13</v>
      </c>
      <c r="L39" s="204"/>
      <c r="M39" s="206"/>
      <c r="N39" s="204" t="s">
        <v>363</v>
      </c>
      <c r="O39" s="79"/>
      <c r="P39" s="73"/>
      <c r="Q39" s="73"/>
      <c r="R39" s="73"/>
      <c r="S39" s="73"/>
      <c r="T39" s="73"/>
      <c r="U39" s="73"/>
      <c r="V39" s="73"/>
    </row>
    <row r="40" spans="1:23" s="23" customFormat="1" x14ac:dyDescent="0.2">
      <c r="A40" s="203">
        <v>6</v>
      </c>
      <c r="B40" s="213" t="s">
        <v>516</v>
      </c>
      <c r="C40" s="214">
        <v>23.616</v>
      </c>
      <c r="D40" s="214">
        <v>28.51</v>
      </c>
      <c r="E40" s="214">
        <v>28.51</v>
      </c>
      <c r="F40" s="214">
        <v>27.51</v>
      </c>
      <c r="G40" s="214">
        <v>27.51</v>
      </c>
      <c r="H40" s="214">
        <v>27.51</v>
      </c>
      <c r="I40" s="214">
        <v>27.51</v>
      </c>
      <c r="J40" s="204"/>
      <c r="K40" s="206">
        <v>13</v>
      </c>
      <c r="L40" s="204"/>
      <c r="M40" s="206"/>
      <c r="N40" s="204" t="s">
        <v>362</v>
      </c>
      <c r="O40" s="79"/>
      <c r="P40" s="73"/>
      <c r="Q40" s="73"/>
      <c r="R40" s="73"/>
      <c r="S40" s="73"/>
      <c r="T40" s="73"/>
      <c r="U40" s="73"/>
      <c r="V40" s="73"/>
    </row>
    <row r="41" spans="1:23" s="23" customFormat="1" x14ac:dyDescent="0.2">
      <c r="A41" s="203">
        <v>7</v>
      </c>
      <c r="B41" s="204" t="s">
        <v>132</v>
      </c>
      <c r="C41" s="205">
        <v>2.4359999999999999</v>
      </c>
      <c r="D41" s="205">
        <v>2.4169999999999998</v>
      </c>
      <c r="E41" s="205">
        <v>2.3730000000000002</v>
      </c>
      <c r="F41" s="205">
        <v>2.0499999999999998</v>
      </c>
      <c r="G41" s="205">
        <v>2.0499999999999998</v>
      </c>
      <c r="H41" s="205">
        <v>2.0499999999999998</v>
      </c>
      <c r="I41" s="205">
        <v>2.0499999999999998</v>
      </c>
      <c r="J41" s="204">
        <v>15</v>
      </c>
      <c r="K41" s="206">
        <v>11</v>
      </c>
      <c r="L41" s="168" t="s">
        <v>95</v>
      </c>
      <c r="M41" s="204" t="s">
        <v>10</v>
      </c>
      <c r="N41" s="204" t="s">
        <v>363</v>
      </c>
      <c r="O41" s="79"/>
      <c r="P41" s="73"/>
      <c r="Q41" s="73"/>
      <c r="R41" s="73"/>
      <c r="S41" s="73"/>
      <c r="T41" s="73"/>
      <c r="U41" s="73"/>
      <c r="V41" s="73"/>
    </row>
    <row r="42" spans="1:23" s="23" customFormat="1" x14ac:dyDescent="0.2">
      <c r="A42" s="203">
        <v>7</v>
      </c>
      <c r="B42" s="204" t="s">
        <v>133</v>
      </c>
      <c r="C42" s="205">
        <v>0.65600000000000003</v>
      </c>
      <c r="D42" s="205">
        <v>0.65600000000000003</v>
      </c>
      <c r="E42" s="205">
        <v>0.66100000000000003</v>
      </c>
      <c r="F42" s="205">
        <v>0.66100000000000003</v>
      </c>
      <c r="G42" s="205">
        <v>0.66100000000000003</v>
      </c>
      <c r="H42" s="205">
        <v>0.66100000000000003</v>
      </c>
      <c r="I42" s="205">
        <v>0.66075000000000006</v>
      </c>
      <c r="J42" s="204">
        <v>75</v>
      </c>
      <c r="K42" s="206" t="s">
        <v>134</v>
      </c>
      <c r="L42" s="168" t="s">
        <v>135</v>
      </c>
      <c r="M42" s="204" t="s">
        <v>10</v>
      </c>
      <c r="N42" s="204" t="s">
        <v>363</v>
      </c>
      <c r="O42" s="79"/>
      <c r="P42" s="73"/>
      <c r="Q42" s="73"/>
      <c r="R42" s="73"/>
      <c r="S42" s="73"/>
      <c r="T42" s="73"/>
      <c r="U42" s="73"/>
      <c r="V42" s="73"/>
    </row>
    <row r="43" spans="1:23" s="23" customFormat="1" x14ac:dyDescent="0.2">
      <c r="A43" s="203">
        <v>16</v>
      </c>
      <c r="B43" s="204" t="s">
        <v>136</v>
      </c>
      <c r="C43" s="207">
        <v>54.798999999999999</v>
      </c>
      <c r="D43" s="207">
        <v>52.931999999999995</v>
      </c>
      <c r="E43" s="207">
        <v>52.315799999999996</v>
      </c>
      <c r="F43" s="207">
        <v>51.620400000000004</v>
      </c>
      <c r="G43" s="207">
        <v>51.215399999999995</v>
      </c>
      <c r="H43" s="207">
        <v>51.215399999999995</v>
      </c>
      <c r="I43" s="207">
        <v>51.215399999999995</v>
      </c>
      <c r="J43" s="204">
        <v>59</v>
      </c>
      <c r="K43" s="78" t="s">
        <v>22</v>
      </c>
      <c r="L43" s="168"/>
      <c r="M43" s="204" t="s">
        <v>136</v>
      </c>
      <c r="N43" s="204" t="s">
        <v>363</v>
      </c>
      <c r="O43" s="79"/>
      <c r="P43" s="72">
        <v>19</v>
      </c>
      <c r="Q43" s="72">
        <v>19</v>
      </c>
      <c r="R43" s="72">
        <v>19</v>
      </c>
      <c r="S43" s="72">
        <v>19</v>
      </c>
      <c r="T43" s="72">
        <v>19</v>
      </c>
      <c r="U43" s="72">
        <v>19</v>
      </c>
      <c r="V43" s="72">
        <v>19</v>
      </c>
    </row>
    <row r="44" spans="1:23" s="23" customFormat="1" x14ac:dyDescent="0.2">
      <c r="A44" s="203">
        <v>16</v>
      </c>
      <c r="B44" s="204" t="s">
        <v>28</v>
      </c>
      <c r="C44" s="207">
        <v>340.279</v>
      </c>
      <c r="D44" s="207">
        <v>443.33564999999999</v>
      </c>
      <c r="E44" s="207">
        <v>425.52336000000003</v>
      </c>
      <c r="F44" s="207">
        <v>412.89303000000001</v>
      </c>
      <c r="G44" s="207">
        <v>411.14463000000001</v>
      </c>
      <c r="H44" s="207">
        <v>410.58663000000001</v>
      </c>
      <c r="I44" s="207">
        <v>410.40063000000004</v>
      </c>
      <c r="J44" s="204">
        <v>94</v>
      </c>
      <c r="K44" s="78" t="s">
        <v>22</v>
      </c>
      <c r="L44" s="168"/>
      <c r="M44" s="204" t="s">
        <v>28</v>
      </c>
      <c r="N44" s="204" t="s">
        <v>366</v>
      </c>
      <c r="O44" s="79"/>
      <c r="P44" s="72">
        <v>210</v>
      </c>
      <c r="Q44" s="72">
        <v>275</v>
      </c>
      <c r="R44" s="72">
        <v>275</v>
      </c>
      <c r="S44" s="72">
        <v>275</v>
      </c>
      <c r="T44" s="72">
        <v>275</v>
      </c>
      <c r="U44" s="72">
        <v>275</v>
      </c>
      <c r="V44" s="72">
        <v>275</v>
      </c>
      <c r="W44" s="7"/>
    </row>
    <row r="45" spans="1:23" s="23" customFormat="1" x14ac:dyDescent="0.2">
      <c r="A45" s="203">
        <v>16</v>
      </c>
      <c r="B45" s="204" t="s">
        <v>137</v>
      </c>
      <c r="C45" s="207">
        <v>4.6859999999999999</v>
      </c>
      <c r="D45" s="207">
        <v>8.7110000000000003</v>
      </c>
      <c r="E45" s="207">
        <v>4.5650000000000004</v>
      </c>
      <c r="F45" s="207">
        <v>4.4847000000000001</v>
      </c>
      <c r="G45" s="207">
        <v>4.4419000000000004</v>
      </c>
      <c r="H45" s="207">
        <v>4.4419000000000004</v>
      </c>
      <c r="I45" s="207">
        <v>4.4419000000000004</v>
      </c>
      <c r="J45" s="204">
        <v>10</v>
      </c>
      <c r="K45" s="206">
        <v>10</v>
      </c>
      <c r="L45" s="168" t="s">
        <v>108</v>
      </c>
      <c r="M45" s="204" t="s">
        <v>12</v>
      </c>
      <c r="N45" s="204" t="s">
        <v>363</v>
      </c>
      <c r="O45" s="79"/>
      <c r="P45" s="72" t="s">
        <v>519</v>
      </c>
      <c r="Q45" s="73"/>
      <c r="R45" s="73"/>
      <c r="S45" s="73"/>
      <c r="T45" s="73"/>
      <c r="U45" s="73"/>
      <c r="V45" s="73"/>
    </row>
    <row r="46" spans="1:23" s="23" customFormat="1" x14ac:dyDescent="0.2">
      <c r="A46" s="203">
        <v>16</v>
      </c>
      <c r="B46" s="204" t="s">
        <v>367</v>
      </c>
      <c r="C46" s="208">
        <v>165.86500000000001</v>
      </c>
      <c r="D46" s="208">
        <v>162.31800000000001</v>
      </c>
      <c r="E46" s="208">
        <v>161.40899999999999</v>
      </c>
      <c r="F46" s="208">
        <v>161.24600000000001</v>
      </c>
      <c r="G46" s="208">
        <v>160.88499999999999</v>
      </c>
      <c r="H46" s="208">
        <v>160.88499999999999</v>
      </c>
      <c r="I46" s="208">
        <v>160.88499999999999</v>
      </c>
      <c r="J46" s="209"/>
      <c r="K46" s="78" t="s">
        <v>22</v>
      </c>
      <c r="L46" s="168"/>
      <c r="M46" s="204" t="s">
        <v>28</v>
      </c>
      <c r="N46" s="204" t="s">
        <v>362</v>
      </c>
      <c r="O46" s="79"/>
      <c r="P46" s="72" t="s">
        <v>426</v>
      </c>
      <c r="Q46" s="73"/>
      <c r="R46" s="73"/>
      <c r="S46" s="73"/>
      <c r="T46" s="73"/>
      <c r="U46" s="73"/>
      <c r="V46" s="73"/>
    </row>
    <row r="47" spans="1:23" s="23" customFormat="1" x14ac:dyDescent="0.2">
      <c r="A47" s="203">
        <v>16</v>
      </c>
      <c r="B47" s="204" t="s">
        <v>368</v>
      </c>
      <c r="C47" s="208">
        <v>8</v>
      </c>
      <c r="D47" s="208">
        <v>8</v>
      </c>
      <c r="E47" s="208">
        <v>8</v>
      </c>
      <c r="F47" s="208">
        <v>8</v>
      </c>
      <c r="G47" s="208">
        <v>8</v>
      </c>
      <c r="H47" s="208">
        <v>8</v>
      </c>
      <c r="I47" s="208">
        <v>8</v>
      </c>
      <c r="J47" s="204">
        <v>100</v>
      </c>
      <c r="K47" s="206" t="s">
        <v>151</v>
      </c>
      <c r="L47" s="168" t="s">
        <v>152</v>
      </c>
      <c r="M47" s="204" t="s">
        <v>157</v>
      </c>
      <c r="N47" s="204" t="s">
        <v>362</v>
      </c>
      <c r="O47" s="78"/>
      <c r="P47" s="72"/>
      <c r="Q47" s="72"/>
      <c r="R47" s="72"/>
      <c r="S47" s="72"/>
      <c r="T47" s="72"/>
      <c r="U47" s="72"/>
      <c r="V47" s="72"/>
    </row>
    <row r="48" spans="1:23" s="23" customFormat="1" x14ac:dyDescent="0.2">
      <c r="A48" s="203">
        <v>16</v>
      </c>
      <c r="B48" s="204" t="s">
        <v>369</v>
      </c>
      <c r="C48" s="208">
        <v>61.963000000000001</v>
      </c>
      <c r="D48" s="208">
        <v>54.243000000000002</v>
      </c>
      <c r="E48" s="208">
        <v>55.295000000000002</v>
      </c>
      <c r="F48" s="208">
        <v>55.381999999999998</v>
      </c>
      <c r="G48" s="208">
        <v>55.38</v>
      </c>
      <c r="H48" s="208">
        <v>55.38</v>
      </c>
      <c r="I48" s="208">
        <v>55.38</v>
      </c>
      <c r="J48" s="204">
        <v>100</v>
      </c>
      <c r="K48" s="206">
        <v>13</v>
      </c>
      <c r="L48" s="168" t="s">
        <v>158</v>
      </c>
      <c r="M48" s="204" t="s">
        <v>28</v>
      </c>
      <c r="N48" s="204" t="s">
        <v>362</v>
      </c>
      <c r="O48" s="79"/>
      <c r="P48" s="73"/>
      <c r="Q48" s="73"/>
      <c r="R48" s="73"/>
      <c r="S48" s="73"/>
      <c r="T48" s="73"/>
      <c r="U48" s="73"/>
      <c r="V48" s="73"/>
    </row>
    <row r="49" spans="1:22" s="23" customFormat="1" x14ac:dyDescent="0.2">
      <c r="A49" s="203">
        <v>16</v>
      </c>
      <c r="B49" s="204" t="s">
        <v>370</v>
      </c>
      <c r="C49" s="208">
        <v>16.257000000000001</v>
      </c>
      <c r="D49" s="208">
        <v>19.448</v>
      </c>
      <c r="E49" s="208">
        <v>17.823</v>
      </c>
      <c r="F49" s="208">
        <v>15.874000000000001</v>
      </c>
      <c r="G49" s="208">
        <v>16.228999999999999</v>
      </c>
      <c r="H49" s="208">
        <v>15.379</v>
      </c>
      <c r="I49" s="208">
        <v>15.287000000000001</v>
      </c>
      <c r="J49" s="204">
        <v>0</v>
      </c>
      <c r="K49" s="206">
        <v>9</v>
      </c>
      <c r="L49" s="168" t="s">
        <v>156</v>
      </c>
      <c r="M49" s="204" t="s">
        <v>28</v>
      </c>
      <c r="N49" s="204" t="s">
        <v>362</v>
      </c>
      <c r="O49" s="79"/>
      <c r="P49" s="73"/>
      <c r="Q49" s="73"/>
      <c r="R49" s="73"/>
      <c r="S49" s="73"/>
      <c r="T49" s="73"/>
      <c r="U49" s="73"/>
      <c r="V49" s="73"/>
    </row>
    <row r="50" spans="1:22" s="23" customFormat="1" x14ac:dyDescent="0.2">
      <c r="A50" s="203">
        <v>16</v>
      </c>
      <c r="B50" s="204" t="s">
        <v>141</v>
      </c>
      <c r="C50" s="207">
        <v>0.26100000000000001</v>
      </c>
      <c r="D50" s="207">
        <v>0</v>
      </c>
      <c r="E50" s="207">
        <v>0</v>
      </c>
      <c r="F50" s="207">
        <v>0</v>
      </c>
      <c r="G50" s="207">
        <v>0</v>
      </c>
      <c r="H50" s="207">
        <v>0</v>
      </c>
      <c r="I50" s="207">
        <v>0</v>
      </c>
      <c r="J50" s="204">
        <v>100</v>
      </c>
      <c r="K50" s="206">
        <v>11</v>
      </c>
      <c r="L50" s="168" t="s">
        <v>95</v>
      </c>
      <c r="M50" s="204" t="s">
        <v>12</v>
      </c>
      <c r="N50" s="204" t="s">
        <v>363</v>
      </c>
      <c r="O50" s="79"/>
      <c r="P50" s="73"/>
      <c r="Q50" s="73"/>
      <c r="R50" s="73"/>
      <c r="S50" s="73"/>
      <c r="T50" s="73"/>
      <c r="U50" s="73"/>
      <c r="V50" s="73"/>
    </row>
    <row r="51" spans="1:22" s="23" customFormat="1" x14ac:dyDescent="0.2">
      <c r="A51" s="203">
        <v>16</v>
      </c>
      <c r="B51" s="204" t="s">
        <v>371</v>
      </c>
      <c r="C51" s="207">
        <v>10.234999999999999</v>
      </c>
      <c r="D51" s="207">
        <v>6.2350000000000003</v>
      </c>
      <c r="E51" s="207">
        <v>6.2350000000000003</v>
      </c>
      <c r="F51" s="207">
        <v>6.2350000000000003</v>
      </c>
      <c r="G51" s="207">
        <v>6.2350000000000003</v>
      </c>
      <c r="H51" s="207">
        <v>6.2350000000000003</v>
      </c>
      <c r="I51" s="207">
        <v>6.2350000000000003</v>
      </c>
      <c r="J51" s="204">
        <v>100</v>
      </c>
      <c r="K51" s="206" t="s">
        <v>138</v>
      </c>
      <c r="L51" s="168" t="s">
        <v>139</v>
      </c>
      <c r="M51" s="204" t="s">
        <v>140</v>
      </c>
      <c r="N51" s="204" t="s">
        <v>363</v>
      </c>
      <c r="O51" s="79"/>
      <c r="P51" s="73"/>
      <c r="Q51" s="73"/>
      <c r="R51" s="73"/>
      <c r="S51" s="73"/>
      <c r="T51" s="73"/>
      <c r="U51" s="73"/>
      <c r="V51" s="73"/>
    </row>
    <row r="52" spans="1:22" s="23" customFormat="1" x14ac:dyDescent="0.2">
      <c r="A52" s="203">
        <v>16</v>
      </c>
      <c r="B52" s="204" t="s">
        <v>148</v>
      </c>
      <c r="C52" s="207">
        <v>8.6349999999999998</v>
      </c>
      <c r="D52" s="207">
        <v>8.3030000000000008</v>
      </c>
      <c r="E52" s="207">
        <v>8.3030000000000008</v>
      </c>
      <c r="F52" s="207">
        <v>8.3030000000000008</v>
      </c>
      <c r="G52" s="207">
        <v>8.3030000000000008</v>
      </c>
      <c r="H52" s="207">
        <v>8.3030000000000008</v>
      </c>
      <c r="I52" s="207">
        <v>8.3030000000000008</v>
      </c>
      <c r="J52" s="204">
        <v>100</v>
      </c>
      <c r="K52" s="206">
        <v>7</v>
      </c>
      <c r="L52" s="168" t="s">
        <v>149</v>
      </c>
      <c r="M52" s="204" t="s">
        <v>10</v>
      </c>
      <c r="N52" s="204" t="s">
        <v>363</v>
      </c>
      <c r="O52" s="79"/>
      <c r="P52" s="73"/>
      <c r="Q52" s="73"/>
      <c r="R52" s="73"/>
      <c r="S52" s="73"/>
      <c r="T52" s="73"/>
      <c r="U52" s="73"/>
      <c r="V52" s="73"/>
    </row>
    <row r="53" spans="1:22" s="23" customFormat="1" x14ac:dyDescent="0.2">
      <c r="A53" s="203">
        <v>16</v>
      </c>
      <c r="B53" s="204" t="s">
        <v>150</v>
      </c>
      <c r="C53" s="207">
        <v>0.23100000000000001</v>
      </c>
      <c r="D53" s="207">
        <v>0.219</v>
      </c>
      <c r="E53" s="207">
        <v>0.219</v>
      </c>
      <c r="F53" s="207">
        <v>0.219</v>
      </c>
      <c r="G53" s="207">
        <v>0.219</v>
      </c>
      <c r="H53" s="207">
        <v>0.219</v>
      </c>
      <c r="I53" s="207">
        <v>0.219</v>
      </c>
      <c r="J53" s="204">
        <v>100</v>
      </c>
      <c r="K53" s="206" t="s">
        <v>151</v>
      </c>
      <c r="L53" s="168" t="s">
        <v>152</v>
      </c>
      <c r="M53" s="204" t="s">
        <v>10</v>
      </c>
      <c r="N53" s="204" t="s">
        <v>363</v>
      </c>
      <c r="O53" s="79"/>
      <c r="P53" s="73"/>
      <c r="Q53" s="73"/>
      <c r="R53" s="73"/>
      <c r="S53" s="73"/>
      <c r="T53" s="73"/>
      <c r="U53" s="73"/>
      <c r="V53" s="73"/>
    </row>
    <row r="54" spans="1:22" s="23" customFormat="1" x14ac:dyDescent="0.2">
      <c r="A54" s="203">
        <v>16</v>
      </c>
      <c r="B54" s="204" t="s">
        <v>160</v>
      </c>
      <c r="C54" s="207">
        <v>2.5</v>
      </c>
      <c r="D54" s="207">
        <v>2.5</v>
      </c>
      <c r="E54" s="207">
        <v>2.5</v>
      </c>
      <c r="F54" s="207">
        <v>2.5</v>
      </c>
      <c r="G54" s="207">
        <v>2.5</v>
      </c>
      <c r="H54" s="207">
        <v>2.5</v>
      </c>
      <c r="I54" s="207">
        <v>2.5</v>
      </c>
      <c r="J54" s="204">
        <v>100</v>
      </c>
      <c r="K54" s="206">
        <v>1</v>
      </c>
      <c r="L54" s="168" t="s">
        <v>161</v>
      </c>
      <c r="M54" s="204" t="s">
        <v>28</v>
      </c>
      <c r="N54" s="204" t="s">
        <v>362</v>
      </c>
      <c r="O54" s="79"/>
      <c r="P54" s="73"/>
      <c r="Q54" s="73"/>
      <c r="R54" s="73"/>
      <c r="S54" s="73"/>
      <c r="T54" s="73"/>
      <c r="U54" s="73"/>
      <c r="V54" s="73"/>
    </row>
    <row r="55" spans="1:22" s="23" customFormat="1" x14ac:dyDescent="0.2">
      <c r="A55" s="203">
        <v>16</v>
      </c>
      <c r="B55" s="204" t="s">
        <v>153</v>
      </c>
      <c r="C55" s="207">
        <v>2.9420000000000002</v>
      </c>
      <c r="D55" s="207">
        <v>2.9420000000000002</v>
      </c>
      <c r="E55" s="207">
        <v>1.5</v>
      </c>
      <c r="F55" s="207">
        <v>1.5</v>
      </c>
      <c r="G55" s="207">
        <v>1.5</v>
      </c>
      <c r="H55" s="207">
        <v>1.5</v>
      </c>
      <c r="I55" s="207">
        <v>1.5</v>
      </c>
      <c r="J55" s="204">
        <v>100</v>
      </c>
      <c r="K55" s="206" t="s">
        <v>138</v>
      </c>
      <c r="L55" s="168" t="s">
        <v>139</v>
      </c>
      <c r="M55" s="204" t="s">
        <v>28</v>
      </c>
      <c r="N55" s="204" t="s">
        <v>362</v>
      </c>
      <c r="O55" s="79"/>
      <c r="P55" s="73"/>
      <c r="Q55" s="73"/>
      <c r="R55" s="73"/>
      <c r="S55" s="73"/>
      <c r="T55" s="73"/>
      <c r="U55" s="73"/>
      <c r="V55" s="73"/>
    </row>
    <row r="56" spans="1:22" s="23" customFormat="1" x14ac:dyDescent="0.2">
      <c r="A56" s="203">
        <v>16</v>
      </c>
      <c r="B56" s="204" t="s">
        <v>159</v>
      </c>
      <c r="C56" s="207">
        <v>40.5</v>
      </c>
      <c r="D56" s="207">
        <v>0</v>
      </c>
      <c r="E56" s="207">
        <v>0</v>
      </c>
      <c r="F56" s="207">
        <v>0</v>
      </c>
      <c r="G56" s="207">
        <v>0</v>
      </c>
      <c r="H56" s="207">
        <v>0</v>
      </c>
      <c r="I56" s="207">
        <v>0</v>
      </c>
      <c r="J56" s="204">
        <v>100</v>
      </c>
      <c r="K56" s="206" t="s">
        <v>115</v>
      </c>
      <c r="L56" s="168" t="s">
        <v>154</v>
      </c>
      <c r="M56" s="204" t="s">
        <v>28</v>
      </c>
      <c r="N56" s="204" t="s">
        <v>362</v>
      </c>
      <c r="O56" s="79"/>
      <c r="P56" s="73"/>
      <c r="Q56" s="73"/>
      <c r="R56" s="73"/>
      <c r="S56" s="73"/>
      <c r="T56" s="73"/>
      <c r="U56" s="73"/>
      <c r="V56" s="73"/>
    </row>
    <row r="57" spans="1:22" s="23" customFormat="1" x14ac:dyDescent="0.2">
      <c r="A57" s="203">
        <v>16</v>
      </c>
      <c r="B57" s="204" t="s">
        <v>162</v>
      </c>
      <c r="C57" s="207">
        <v>3.0489999999999999</v>
      </c>
      <c r="D57" s="207">
        <v>3.0539999999999998</v>
      </c>
      <c r="E57" s="207">
        <v>2.9529999999999998</v>
      </c>
      <c r="F57" s="207">
        <v>3.0649999999999999</v>
      </c>
      <c r="G57" s="207">
        <v>3.028</v>
      </c>
      <c r="H57" s="207">
        <v>3.1440000000000001</v>
      </c>
      <c r="I57" s="207">
        <v>3.1480000000000001</v>
      </c>
      <c r="J57" s="204">
        <v>50</v>
      </c>
      <c r="K57" s="206">
        <v>13</v>
      </c>
      <c r="L57" s="168" t="s">
        <v>158</v>
      </c>
      <c r="M57" s="204" t="s">
        <v>63</v>
      </c>
      <c r="N57" s="204" t="s">
        <v>362</v>
      </c>
      <c r="O57" s="79"/>
      <c r="P57" s="73"/>
      <c r="Q57" s="73"/>
      <c r="R57" s="73"/>
      <c r="S57" s="73"/>
      <c r="T57" s="73"/>
      <c r="U57" s="73"/>
      <c r="V57" s="73"/>
    </row>
    <row r="58" spans="1:22" s="23" customFormat="1" x14ac:dyDescent="0.2">
      <c r="A58" s="203">
        <v>16</v>
      </c>
      <c r="B58" s="204" t="s">
        <v>163</v>
      </c>
      <c r="C58" s="207">
        <v>3.57</v>
      </c>
      <c r="D58" s="207">
        <v>2.75</v>
      </c>
      <c r="E58" s="207">
        <v>2.75</v>
      </c>
      <c r="F58" s="207">
        <v>1.25</v>
      </c>
      <c r="G58" s="207">
        <v>0</v>
      </c>
      <c r="H58" s="207">
        <v>0</v>
      </c>
      <c r="I58" s="207">
        <v>0</v>
      </c>
      <c r="J58" s="204">
        <v>100</v>
      </c>
      <c r="K58" s="206">
        <v>13</v>
      </c>
      <c r="L58" s="168" t="s">
        <v>158</v>
      </c>
      <c r="M58" s="204" t="s">
        <v>63</v>
      </c>
      <c r="N58" s="204" t="s">
        <v>362</v>
      </c>
      <c r="O58" s="78"/>
      <c r="P58" s="72"/>
      <c r="Q58" s="72"/>
      <c r="R58" s="72"/>
      <c r="S58" s="72"/>
      <c r="T58" s="72"/>
      <c r="U58" s="72"/>
      <c r="V58" s="72"/>
    </row>
    <row r="59" spans="1:22" s="23" customFormat="1" x14ac:dyDescent="0.2">
      <c r="A59" s="203">
        <v>16</v>
      </c>
      <c r="B59" s="204" t="s">
        <v>142</v>
      </c>
      <c r="C59" s="207">
        <v>0.77500000000000002</v>
      </c>
      <c r="D59" s="207">
        <v>0.81200000000000006</v>
      </c>
      <c r="E59" s="207">
        <v>0.81200000000000006</v>
      </c>
      <c r="F59" s="207">
        <v>0.81200000000000006</v>
      </c>
      <c r="G59" s="207">
        <v>0.81200000000000006</v>
      </c>
      <c r="H59" s="207">
        <v>0.81200000000000006</v>
      </c>
      <c r="I59" s="207">
        <v>0.81200000000000006</v>
      </c>
      <c r="J59" s="204">
        <v>100</v>
      </c>
      <c r="K59" s="206" t="s">
        <v>138</v>
      </c>
      <c r="L59" s="168" t="s">
        <v>139</v>
      </c>
      <c r="M59" s="204" t="s">
        <v>15</v>
      </c>
      <c r="N59" s="204" t="s">
        <v>363</v>
      </c>
      <c r="O59" s="78"/>
      <c r="P59" s="72"/>
      <c r="Q59" s="72"/>
      <c r="R59" s="72"/>
      <c r="S59" s="72"/>
      <c r="T59" s="72"/>
      <c r="U59" s="72"/>
      <c r="V59" s="72"/>
    </row>
    <row r="60" spans="1:22" s="23" customFormat="1" x14ac:dyDescent="0.2">
      <c r="A60" s="203">
        <v>16</v>
      </c>
      <c r="B60" s="204" t="s">
        <v>143</v>
      </c>
      <c r="C60" s="207">
        <v>4.7320000000000002</v>
      </c>
      <c r="D60" s="207">
        <v>4.8460000000000001</v>
      </c>
      <c r="E60" s="207">
        <v>4.851</v>
      </c>
      <c r="F60" s="207">
        <v>4.851</v>
      </c>
      <c r="G60" s="207">
        <v>4.851</v>
      </c>
      <c r="H60" s="207">
        <v>4.851</v>
      </c>
      <c r="I60" s="207">
        <v>4.851</v>
      </c>
      <c r="J60" s="204">
        <v>100</v>
      </c>
      <c r="K60" s="206" t="s">
        <v>138</v>
      </c>
      <c r="L60" s="168" t="s">
        <v>139</v>
      </c>
      <c r="M60" s="204" t="s">
        <v>15</v>
      </c>
      <c r="N60" s="204" t="s">
        <v>363</v>
      </c>
      <c r="O60" s="79"/>
      <c r="P60" s="73"/>
      <c r="Q60" s="73"/>
      <c r="R60" s="73"/>
      <c r="S60" s="73"/>
      <c r="T60" s="73"/>
      <c r="U60" s="73"/>
      <c r="V60" s="73"/>
    </row>
    <row r="61" spans="1:22" s="23" customFormat="1" x14ac:dyDescent="0.2">
      <c r="A61" s="203">
        <v>16</v>
      </c>
      <c r="B61" s="204" t="s">
        <v>144</v>
      </c>
      <c r="C61" s="207">
        <v>30.361999999999998</v>
      </c>
      <c r="D61" s="207">
        <v>30.95</v>
      </c>
      <c r="E61" s="207">
        <v>31.065000000000001</v>
      </c>
      <c r="F61" s="207">
        <v>31.065000000000001</v>
      </c>
      <c r="G61" s="207">
        <v>31.065000000000001</v>
      </c>
      <c r="H61" s="207">
        <v>31.065000000000001</v>
      </c>
      <c r="I61" s="207">
        <v>31.065000000000001</v>
      </c>
      <c r="J61" s="204">
        <v>100</v>
      </c>
      <c r="K61" s="206">
        <v>3</v>
      </c>
      <c r="L61" s="168" t="s">
        <v>145</v>
      </c>
      <c r="M61" s="204" t="s">
        <v>15</v>
      </c>
      <c r="N61" s="204" t="s">
        <v>362</v>
      </c>
      <c r="O61" s="79"/>
      <c r="P61" s="73"/>
      <c r="Q61" s="73"/>
      <c r="R61" s="73"/>
      <c r="S61" s="73"/>
      <c r="T61" s="73"/>
      <c r="U61" s="73"/>
      <c r="V61" s="73"/>
    </row>
    <row r="62" spans="1:22" s="23" customFormat="1" x14ac:dyDescent="0.2">
      <c r="A62" s="203">
        <v>16</v>
      </c>
      <c r="B62" s="204" t="s">
        <v>146</v>
      </c>
      <c r="C62" s="207">
        <v>41.363</v>
      </c>
      <c r="D62" s="207">
        <v>46.868000000000002</v>
      </c>
      <c r="E62" s="207">
        <v>40</v>
      </c>
      <c r="F62" s="207">
        <v>40</v>
      </c>
      <c r="G62" s="207">
        <v>40</v>
      </c>
      <c r="H62" s="207">
        <v>40</v>
      </c>
      <c r="I62" s="207">
        <v>40</v>
      </c>
      <c r="J62" s="204">
        <v>100</v>
      </c>
      <c r="K62" s="206" t="s">
        <v>138</v>
      </c>
      <c r="L62" s="168" t="s">
        <v>139</v>
      </c>
      <c r="M62" s="204" t="s">
        <v>15</v>
      </c>
      <c r="N62" s="204" t="s">
        <v>363</v>
      </c>
      <c r="O62" s="79"/>
      <c r="P62" s="73"/>
      <c r="Q62" s="73"/>
      <c r="R62" s="73"/>
      <c r="S62" s="73"/>
      <c r="T62" s="73"/>
      <c r="U62" s="73"/>
      <c r="V62" s="73"/>
    </row>
    <row r="63" spans="1:22" s="23" customFormat="1" x14ac:dyDescent="0.2">
      <c r="A63" s="203">
        <v>16</v>
      </c>
      <c r="B63" s="204" t="s">
        <v>147</v>
      </c>
      <c r="C63" s="207">
        <v>8.5139999999999993</v>
      </c>
      <c r="D63" s="207">
        <v>8.6150000000000002</v>
      </c>
      <c r="E63" s="207">
        <v>8.5</v>
      </c>
      <c r="F63" s="207">
        <v>8.5</v>
      </c>
      <c r="G63" s="207">
        <v>8.5</v>
      </c>
      <c r="H63" s="207">
        <v>8.5</v>
      </c>
      <c r="I63" s="207">
        <v>8.5</v>
      </c>
      <c r="J63" s="204">
        <v>100</v>
      </c>
      <c r="K63" s="206" t="s">
        <v>138</v>
      </c>
      <c r="L63" s="168" t="s">
        <v>139</v>
      </c>
      <c r="M63" s="204" t="s">
        <v>15</v>
      </c>
      <c r="N63" s="204" t="s">
        <v>363</v>
      </c>
      <c r="O63" s="79"/>
      <c r="P63" s="73"/>
      <c r="Q63" s="73"/>
      <c r="R63" s="73"/>
      <c r="S63" s="73"/>
      <c r="T63" s="73"/>
      <c r="U63" s="73"/>
      <c r="V63" s="73"/>
    </row>
    <row r="64" spans="1:22" s="23" customFormat="1" x14ac:dyDescent="0.2">
      <c r="A64" s="203" t="s">
        <v>164</v>
      </c>
      <c r="B64" s="204" t="s">
        <v>165</v>
      </c>
      <c r="C64" s="207">
        <v>14.1</v>
      </c>
      <c r="D64" s="207">
        <v>14.1</v>
      </c>
      <c r="E64" s="207">
        <v>14</v>
      </c>
      <c r="F64" s="207">
        <v>14</v>
      </c>
      <c r="G64" s="207">
        <v>14</v>
      </c>
      <c r="H64" s="207">
        <v>14</v>
      </c>
      <c r="I64" s="207">
        <v>14</v>
      </c>
      <c r="J64" s="204">
        <v>100</v>
      </c>
      <c r="K64" s="206">
        <v>9</v>
      </c>
      <c r="L64" s="168" t="s">
        <v>156</v>
      </c>
      <c r="M64" s="204" t="s">
        <v>63</v>
      </c>
      <c r="N64" s="204" t="s">
        <v>362</v>
      </c>
      <c r="O64" s="79"/>
      <c r="P64" s="73"/>
      <c r="Q64" s="73"/>
      <c r="R64" s="73"/>
      <c r="S64" s="73"/>
      <c r="T64" s="73"/>
      <c r="U64" s="73"/>
      <c r="V64" s="73"/>
    </row>
    <row r="65" spans="1:23" s="23" customFormat="1" x14ac:dyDescent="0.2">
      <c r="A65" s="203" t="s">
        <v>166</v>
      </c>
      <c r="B65" s="204" t="s">
        <v>372</v>
      </c>
      <c r="C65" s="207">
        <v>12.824999999999999</v>
      </c>
      <c r="D65" s="207">
        <v>10.071</v>
      </c>
      <c r="E65" s="207">
        <v>9.1530000000000005</v>
      </c>
      <c r="F65" s="207">
        <v>8.8829999999999991</v>
      </c>
      <c r="G65" s="207">
        <v>8.64</v>
      </c>
      <c r="H65" s="207">
        <v>8.6129999999999995</v>
      </c>
      <c r="I65" s="207">
        <v>8.6129999999999995</v>
      </c>
      <c r="J65" s="204">
        <v>27</v>
      </c>
      <c r="K65" s="206">
        <v>10</v>
      </c>
      <c r="L65" s="168" t="s">
        <v>108</v>
      </c>
      <c r="M65" s="204" t="s">
        <v>12</v>
      </c>
      <c r="N65" s="204" t="s">
        <v>363</v>
      </c>
      <c r="O65" s="79"/>
      <c r="P65" s="73"/>
      <c r="Q65" s="73"/>
      <c r="R65" s="73"/>
      <c r="S65" s="73"/>
      <c r="T65" s="73"/>
      <c r="U65" s="73"/>
      <c r="V65" s="73"/>
    </row>
    <row r="66" spans="1:23" s="23" customFormat="1" x14ac:dyDescent="0.2">
      <c r="A66" s="203" t="s">
        <v>166</v>
      </c>
      <c r="B66" s="204" t="s">
        <v>167</v>
      </c>
      <c r="C66" s="207">
        <v>0.32100000000000001</v>
      </c>
      <c r="D66" s="207">
        <v>0.31900000000000001</v>
      </c>
      <c r="E66" s="207">
        <v>0.31900000000000001</v>
      </c>
      <c r="F66" s="207"/>
      <c r="G66" s="210"/>
      <c r="H66" s="210"/>
      <c r="I66" s="210"/>
      <c r="J66" s="204">
        <v>6</v>
      </c>
      <c r="K66" s="206">
        <v>10</v>
      </c>
      <c r="L66" s="168" t="s">
        <v>108</v>
      </c>
      <c r="M66" s="204" t="s">
        <v>12</v>
      </c>
      <c r="N66" s="204" t="s">
        <v>363</v>
      </c>
      <c r="O66" s="79"/>
      <c r="P66" s="73"/>
      <c r="Q66" s="73"/>
      <c r="R66" s="73"/>
      <c r="S66" s="73"/>
      <c r="T66" s="73"/>
      <c r="U66" s="73"/>
      <c r="V66" s="73"/>
    </row>
    <row r="67" spans="1:23" s="23" customFormat="1" x14ac:dyDescent="0.2">
      <c r="A67" s="203" t="s">
        <v>166</v>
      </c>
      <c r="B67" s="204" t="s">
        <v>168</v>
      </c>
      <c r="C67" s="207">
        <v>1.75</v>
      </c>
      <c r="D67" s="207">
        <v>1.9119999999999999</v>
      </c>
      <c r="E67" s="207">
        <v>2.15</v>
      </c>
      <c r="F67" s="207">
        <v>2.15</v>
      </c>
      <c r="G67" s="207">
        <v>2.15</v>
      </c>
      <c r="H67" s="207">
        <v>2.15</v>
      </c>
      <c r="I67" s="207">
        <v>2.15</v>
      </c>
      <c r="J67" s="204">
        <v>100</v>
      </c>
      <c r="K67" s="206">
        <v>10</v>
      </c>
      <c r="L67" s="168" t="s">
        <v>108</v>
      </c>
      <c r="M67" s="204" t="s">
        <v>63</v>
      </c>
      <c r="N67" s="204" t="s">
        <v>362</v>
      </c>
      <c r="O67" s="79"/>
      <c r="P67" s="73"/>
      <c r="Q67" s="73"/>
      <c r="R67" s="73"/>
      <c r="S67" s="73"/>
      <c r="T67" s="73"/>
      <c r="U67" s="73"/>
      <c r="V67" s="73"/>
    </row>
    <row r="68" spans="1:23" s="23" customFormat="1" x14ac:dyDescent="0.2">
      <c r="A68" s="203" t="s">
        <v>166</v>
      </c>
      <c r="B68" s="204" t="s">
        <v>169</v>
      </c>
      <c r="C68" s="207">
        <v>0.72699999999999998</v>
      </c>
      <c r="D68" s="207">
        <v>0.72699999999999998</v>
      </c>
      <c r="E68" s="207">
        <v>0.72699999999999998</v>
      </c>
      <c r="F68" s="207"/>
      <c r="G68" s="210"/>
      <c r="H68" s="210"/>
      <c r="I68" s="210"/>
      <c r="J68" s="204">
        <v>100</v>
      </c>
      <c r="K68" s="206">
        <v>10</v>
      </c>
      <c r="L68" s="168" t="s">
        <v>108</v>
      </c>
      <c r="M68" s="204" t="s">
        <v>10</v>
      </c>
      <c r="N68" s="204" t="s">
        <v>363</v>
      </c>
      <c r="O68" s="79"/>
      <c r="P68" s="73"/>
      <c r="Q68" s="73"/>
      <c r="R68" s="73"/>
      <c r="S68" s="73"/>
      <c r="T68" s="73"/>
      <c r="U68" s="73"/>
      <c r="V68" s="73"/>
    </row>
    <row r="69" spans="1:23" s="3" customFormat="1" ht="15" x14ac:dyDescent="0.25">
      <c r="A69" s="92"/>
      <c r="B69" s="3" t="s">
        <v>104</v>
      </c>
      <c r="C69" s="12">
        <f>SUM(C37:C68)</f>
        <v>3501.0410000000006</v>
      </c>
      <c r="D69" s="12">
        <f t="shared" ref="D69:I69" si="22">SUM(D37:D68)</f>
        <v>3594.5718734261923</v>
      </c>
      <c r="E69" s="12">
        <f t="shared" si="22"/>
        <v>3551.2934253791063</v>
      </c>
      <c r="F69" s="12">
        <f t="shared" si="22"/>
        <v>3522.3499933758449</v>
      </c>
      <c r="G69" s="12">
        <f t="shared" si="22"/>
        <v>3497.9869908350197</v>
      </c>
      <c r="H69" s="12">
        <f t="shared" si="22"/>
        <v>3497.8243063013169</v>
      </c>
      <c r="I69" s="12">
        <f t="shared" si="22"/>
        <v>3509.3539847368038</v>
      </c>
      <c r="L69" s="1"/>
      <c r="O69" s="77"/>
      <c r="P69" s="6">
        <f t="shared" ref="P69:V69" si="23">SUM(P37:P68)</f>
        <v>229</v>
      </c>
      <c r="Q69" s="6">
        <f t="shared" si="23"/>
        <v>294</v>
      </c>
      <c r="R69" s="6">
        <f t="shared" si="23"/>
        <v>294</v>
      </c>
      <c r="S69" s="6">
        <f t="shared" si="23"/>
        <v>294</v>
      </c>
      <c r="T69" s="6">
        <f t="shared" si="23"/>
        <v>294</v>
      </c>
      <c r="U69" s="6">
        <f t="shared" si="23"/>
        <v>294</v>
      </c>
      <c r="V69" s="6">
        <f t="shared" si="23"/>
        <v>294</v>
      </c>
    </row>
    <row r="70" spans="1:23" x14ac:dyDescent="0.2">
      <c r="C70" s="66"/>
      <c r="D70" s="66"/>
      <c r="E70" s="66"/>
      <c r="F70" s="66"/>
      <c r="G70" s="66"/>
      <c r="H70" s="66"/>
      <c r="I70" s="66"/>
    </row>
    <row r="71" spans="1:23" s="1" customFormat="1" ht="15" x14ac:dyDescent="0.25">
      <c r="A71" s="14"/>
      <c r="B71" s="15" t="s">
        <v>64</v>
      </c>
      <c r="C71" s="65"/>
      <c r="D71" s="65"/>
      <c r="E71" s="65"/>
      <c r="F71" s="65"/>
      <c r="G71" s="65"/>
      <c r="H71" s="65"/>
      <c r="I71" s="65"/>
      <c r="J71" s="14"/>
      <c r="K71" s="14"/>
      <c r="L71" s="14"/>
      <c r="M71" s="14"/>
      <c r="N71" s="14"/>
      <c r="O71" s="14"/>
      <c r="P71" s="71"/>
      <c r="Q71" s="71"/>
      <c r="R71" s="71"/>
      <c r="S71" s="71"/>
      <c r="T71" s="71"/>
      <c r="U71" s="71"/>
      <c r="V71" s="71"/>
    </row>
    <row r="72" spans="1:23" s="18" customFormat="1" x14ac:dyDescent="0.2">
      <c r="A72" s="168" t="s">
        <v>88</v>
      </c>
      <c r="B72" s="132" t="s">
        <v>376</v>
      </c>
      <c r="C72" s="132">
        <v>34.107999999999997</v>
      </c>
      <c r="D72" s="132">
        <v>33.542999999999999</v>
      </c>
      <c r="E72" s="132">
        <v>33.527999999999999</v>
      </c>
      <c r="F72" s="132">
        <v>33.307000000000002</v>
      </c>
      <c r="G72" s="132">
        <v>33.308</v>
      </c>
      <c r="H72" s="132">
        <v>33.308</v>
      </c>
      <c r="I72" s="132">
        <v>33.308</v>
      </c>
      <c r="J72" s="132">
        <v>100</v>
      </c>
      <c r="K72" s="132">
        <v>14</v>
      </c>
      <c r="L72" s="132" t="s">
        <v>90</v>
      </c>
      <c r="M72" s="132" t="s">
        <v>24</v>
      </c>
      <c r="N72" s="18" t="s">
        <v>62</v>
      </c>
      <c r="O72" s="80">
        <v>100</v>
      </c>
      <c r="P72" s="5">
        <f t="shared" ref="P72:P76" si="24">+$O72/100*C72</f>
        <v>34.107999999999997</v>
      </c>
      <c r="Q72" s="5">
        <f t="shared" ref="Q72:Q76" si="25">+$O72/100*D72</f>
        <v>33.542999999999999</v>
      </c>
      <c r="R72" s="5">
        <f t="shared" ref="R72:R76" si="26">+$O72/100*E72</f>
        <v>33.527999999999999</v>
      </c>
      <c r="S72" s="5">
        <f t="shared" ref="S72:S76" si="27">+$O72/100*F72</f>
        <v>33.307000000000002</v>
      </c>
      <c r="T72" s="5">
        <f t="shared" ref="T72:T76" si="28">+$O72/100*G72</f>
        <v>33.308</v>
      </c>
      <c r="U72" s="5">
        <f t="shared" ref="U72:U76" si="29">+$O72/100*H72</f>
        <v>33.308</v>
      </c>
      <c r="V72" s="5">
        <f t="shared" ref="V72:V76" si="30">+$O72/100*I72</f>
        <v>33.308</v>
      </c>
      <c r="W72" s="5"/>
    </row>
    <row r="73" spans="1:23" s="18" customFormat="1" x14ac:dyDescent="0.2">
      <c r="A73" s="168" t="s">
        <v>88</v>
      </c>
      <c r="B73" s="132" t="s">
        <v>92</v>
      </c>
      <c r="C73" s="132">
        <v>0.51700000000000002</v>
      </c>
      <c r="D73" s="132">
        <v>0.51700000000000002</v>
      </c>
      <c r="E73" s="132">
        <v>0.51700000000000002</v>
      </c>
      <c r="F73" s="132">
        <v>0.51700000000000002</v>
      </c>
      <c r="G73" s="132">
        <v>0.51700000000000002</v>
      </c>
      <c r="H73" s="132">
        <v>0.51700000000000002</v>
      </c>
      <c r="I73" s="132">
        <v>0.51700000000000002</v>
      </c>
      <c r="J73" s="132">
        <v>100</v>
      </c>
      <c r="K73" s="132">
        <v>14</v>
      </c>
      <c r="L73" s="132" t="s">
        <v>90</v>
      </c>
      <c r="M73" s="132" t="s">
        <v>10</v>
      </c>
      <c r="N73" s="18" t="s">
        <v>62</v>
      </c>
      <c r="O73" s="80">
        <v>100</v>
      </c>
      <c r="P73" s="5">
        <f t="shared" si="24"/>
        <v>0.51700000000000002</v>
      </c>
      <c r="Q73" s="5">
        <f t="shared" si="25"/>
        <v>0.51700000000000002</v>
      </c>
      <c r="R73" s="5">
        <f t="shared" si="26"/>
        <v>0.51700000000000002</v>
      </c>
      <c r="S73" s="5">
        <f t="shared" si="27"/>
        <v>0.51700000000000002</v>
      </c>
      <c r="T73" s="5">
        <f t="shared" si="28"/>
        <v>0.51700000000000002</v>
      </c>
      <c r="U73" s="5">
        <f t="shared" si="29"/>
        <v>0.51700000000000002</v>
      </c>
      <c r="V73" s="5">
        <f t="shared" si="30"/>
        <v>0.51700000000000002</v>
      </c>
      <c r="W73" s="5"/>
    </row>
    <row r="74" spans="1:23" s="18" customFormat="1" x14ac:dyDescent="0.2">
      <c r="A74" s="168" t="s">
        <v>88</v>
      </c>
      <c r="B74" s="132" t="s">
        <v>89</v>
      </c>
      <c r="C74" s="132">
        <v>8.2140000000000004</v>
      </c>
      <c r="D74" s="132">
        <v>5.4450000000000003</v>
      </c>
      <c r="E74" s="132">
        <v>5.0949999999999998</v>
      </c>
      <c r="F74" s="132">
        <v>5.0949999999999998</v>
      </c>
      <c r="G74" s="132">
        <v>5.0949999999999998</v>
      </c>
      <c r="H74" s="132">
        <v>5.0949999999999998</v>
      </c>
      <c r="I74" s="132">
        <v>5.0949999999999998</v>
      </c>
      <c r="J74" s="132">
        <v>100</v>
      </c>
      <c r="K74" s="132">
        <v>14</v>
      </c>
      <c r="L74" s="132" t="s">
        <v>90</v>
      </c>
      <c r="M74" s="132" t="s">
        <v>16</v>
      </c>
      <c r="N74" s="18" t="s">
        <v>63</v>
      </c>
      <c r="O74" s="80">
        <v>100</v>
      </c>
      <c r="P74" s="5">
        <f t="shared" si="24"/>
        <v>8.2140000000000004</v>
      </c>
      <c r="Q74" s="5">
        <f t="shared" si="25"/>
        <v>5.4450000000000003</v>
      </c>
      <c r="R74" s="5">
        <f t="shared" si="26"/>
        <v>5.0949999999999998</v>
      </c>
      <c r="S74" s="5">
        <f t="shared" si="27"/>
        <v>5.0949999999999998</v>
      </c>
      <c r="T74" s="5">
        <f t="shared" si="28"/>
        <v>5.0949999999999998</v>
      </c>
      <c r="U74" s="5">
        <f t="shared" si="29"/>
        <v>5.0949999999999998</v>
      </c>
      <c r="V74" s="5">
        <f t="shared" si="30"/>
        <v>5.0949999999999998</v>
      </c>
      <c r="W74" s="5"/>
    </row>
    <row r="75" spans="1:23" s="18" customFormat="1" x14ac:dyDescent="0.2">
      <c r="A75" s="168" t="s">
        <v>88</v>
      </c>
      <c r="B75" s="132" t="s">
        <v>89</v>
      </c>
      <c r="C75" s="132">
        <v>16.295999999999999</v>
      </c>
      <c r="D75" s="132">
        <v>21.6</v>
      </c>
      <c r="E75" s="132">
        <v>18.035</v>
      </c>
      <c r="F75" s="132">
        <v>18.035</v>
      </c>
      <c r="G75" s="132">
        <v>18.036999999999999</v>
      </c>
      <c r="H75" s="132">
        <v>18.036999999999999</v>
      </c>
      <c r="I75" s="132">
        <v>18.036999999999999</v>
      </c>
      <c r="J75" s="132">
        <v>100</v>
      </c>
      <c r="K75" s="132">
        <v>14</v>
      </c>
      <c r="L75" s="132" t="s">
        <v>90</v>
      </c>
      <c r="M75" s="132" t="s">
        <v>91</v>
      </c>
      <c r="N75" s="18" t="s">
        <v>63</v>
      </c>
      <c r="O75" s="80">
        <v>100</v>
      </c>
      <c r="P75" s="5">
        <f t="shared" si="24"/>
        <v>16.295999999999999</v>
      </c>
      <c r="Q75" s="5">
        <f t="shared" si="25"/>
        <v>21.6</v>
      </c>
      <c r="R75" s="5">
        <f t="shared" si="26"/>
        <v>18.035</v>
      </c>
      <c r="S75" s="5">
        <f t="shared" si="27"/>
        <v>18.035</v>
      </c>
      <c r="T75" s="5">
        <f t="shared" si="28"/>
        <v>18.036999999999999</v>
      </c>
      <c r="U75" s="5">
        <f t="shared" si="29"/>
        <v>18.036999999999999</v>
      </c>
      <c r="V75" s="5">
        <f t="shared" si="30"/>
        <v>18.036999999999999</v>
      </c>
      <c r="W75" s="5"/>
    </row>
    <row r="76" spans="1:23" s="141" customFormat="1" x14ac:dyDescent="0.2">
      <c r="A76" s="168" t="s">
        <v>88</v>
      </c>
      <c r="B76" s="133" t="s">
        <v>89</v>
      </c>
      <c r="C76" s="133">
        <v>0.26800000000000002</v>
      </c>
      <c r="D76" s="134">
        <v>0</v>
      </c>
      <c r="E76" s="134">
        <v>0</v>
      </c>
      <c r="F76" s="134">
        <v>0</v>
      </c>
      <c r="G76" s="134">
        <v>0</v>
      </c>
      <c r="H76" s="134">
        <v>0</v>
      </c>
      <c r="I76" s="134">
        <v>0</v>
      </c>
      <c r="J76" s="133">
        <v>100</v>
      </c>
      <c r="K76" s="133">
        <v>14</v>
      </c>
      <c r="L76" s="133" t="s">
        <v>90</v>
      </c>
      <c r="M76" s="133" t="s">
        <v>112</v>
      </c>
      <c r="N76" s="141" t="s">
        <v>63</v>
      </c>
      <c r="O76" s="80">
        <v>100</v>
      </c>
      <c r="P76" s="5">
        <f t="shared" si="24"/>
        <v>0.26800000000000002</v>
      </c>
      <c r="Q76" s="5">
        <f t="shared" si="25"/>
        <v>0</v>
      </c>
      <c r="R76" s="5">
        <f t="shared" si="26"/>
        <v>0</v>
      </c>
      <c r="S76" s="5">
        <f t="shared" si="27"/>
        <v>0</v>
      </c>
      <c r="T76" s="5">
        <f t="shared" si="28"/>
        <v>0</v>
      </c>
      <c r="U76" s="5">
        <f t="shared" si="29"/>
        <v>0</v>
      </c>
      <c r="V76" s="5">
        <f t="shared" si="30"/>
        <v>0</v>
      </c>
      <c r="W76" s="5"/>
    </row>
    <row r="77" spans="1:23" s="3" customFormat="1" ht="15" x14ac:dyDescent="0.25">
      <c r="A77" s="92"/>
      <c r="B77" s="3" t="s">
        <v>93</v>
      </c>
      <c r="C77" s="12">
        <f>SUM(C72:C76)</f>
        <v>59.402999999999999</v>
      </c>
      <c r="D77" s="12">
        <f t="shared" ref="D77:I77" si="31">SUM(D72:D76)</f>
        <v>61.105000000000004</v>
      </c>
      <c r="E77" s="12">
        <f t="shared" si="31"/>
        <v>57.174999999999997</v>
      </c>
      <c r="F77" s="12">
        <f t="shared" si="31"/>
        <v>56.954000000000008</v>
      </c>
      <c r="G77" s="12">
        <f t="shared" si="31"/>
        <v>56.957000000000001</v>
      </c>
      <c r="H77" s="12">
        <f t="shared" si="31"/>
        <v>56.957000000000001</v>
      </c>
      <c r="I77" s="12">
        <f t="shared" si="31"/>
        <v>56.957000000000001</v>
      </c>
      <c r="L77" s="1"/>
      <c r="O77" s="77"/>
      <c r="P77" s="6">
        <f>SUM(P72:P76)</f>
        <v>59.402999999999999</v>
      </c>
      <c r="Q77" s="6">
        <f t="shared" ref="Q77:V77" si="32">SUM(Q72:Q76)</f>
        <v>61.105000000000004</v>
      </c>
      <c r="R77" s="6">
        <f t="shared" si="32"/>
        <v>57.174999999999997</v>
      </c>
      <c r="S77" s="6">
        <f t="shared" si="32"/>
        <v>56.954000000000008</v>
      </c>
      <c r="T77" s="6">
        <f t="shared" si="32"/>
        <v>56.957000000000001</v>
      </c>
      <c r="U77" s="6">
        <f t="shared" si="32"/>
        <v>56.957000000000001</v>
      </c>
      <c r="V77" s="6">
        <f t="shared" si="32"/>
        <v>56.957000000000001</v>
      </c>
    </row>
    <row r="78" spans="1:23" s="3" customFormat="1" ht="15" x14ac:dyDescent="0.25">
      <c r="A78" s="92"/>
      <c r="C78" s="12"/>
      <c r="D78" s="12"/>
      <c r="E78" s="12"/>
      <c r="F78" s="12"/>
      <c r="G78" s="12"/>
      <c r="H78" s="12"/>
      <c r="I78" s="12"/>
      <c r="L78" s="1"/>
      <c r="O78" s="77"/>
      <c r="P78" s="6"/>
      <c r="Q78" s="6"/>
      <c r="R78" s="6"/>
      <c r="S78" s="6"/>
      <c r="T78" s="6"/>
      <c r="U78" s="6"/>
      <c r="V78" s="6"/>
    </row>
    <row r="79" spans="1:23" s="3" customFormat="1" ht="15" x14ac:dyDescent="0.25">
      <c r="A79" s="15"/>
      <c r="B79" s="29" t="s">
        <v>123</v>
      </c>
      <c r="C79" s="64"/>
      <c r="D79" s="67"/>
      <c r="E79" s="67"/>
      <c r="F79" s="67"/>
      <c r="G79" s="67"/>
      <c r="H79" s="67"/>
      <c r="I79" s="67"/>
      <c r="J79" s="30"/>
      <c r="K79" s="29"/>
      <c r="L79" s="127"/>
      <c r="M79" s="29"/>
      <c r="N79" s="29"/>
      <c r="O79" s="29"/>
      <c r="P79" s="6"/>
      <c r="Q79" s="6"/>
      <c r="R79" s="6"/>
      <c r="S79" s="6"/>
      <c r="T79" s="6"/>
      <c r="U79" s="6"/>
      <c r="V79" s="6"/>
    </row>
    <row r="80" spans="1:23" s="92" customFormat="1" ht="15" x14ac:dyDescent="0.25">
      <c r="A80" s="168" t="s">
        <v>171</v>
      </c>
      <c r="B80" s="168" t="s">
        <v>172</v>
      </c>
      <c r="C80" s="173">
        <v>0.13300000000000001</v>
      </c>
      <c r="D80" s="173"/>
      <c r="E80" s="173"/>
      <c r="F80" s="173"/>
      <c r="G80" s="173"/>
      <c r="H80" s="173"/>
      <c r="I80" s="173"/>
      <c r="J80" s="174">
        <v>100</v>
      </c>
      <c r="K80" s="168">
        <v>4</v>
      </c>
      <c r="L80" s="168" t="s">
        <v>534</v>
      </c>
      <c r="M80" s="168" t="s">
        <v>172</v>
      </c>
      <c r="N80" s="168" t="s">
        <v>62</v>
      </c>
      <c r="O80" s="175">
        <v>0</v>
      </c>
      <c r="P80" s="176"/>
      <c r="Q80" s="176"/>
      <c r="R80" s="176"/>
      <c r="S80" s="176"/>
      <c r="T80" s="176"/>
      <c r="U80" s="176"/>
      <c r="V80" s="176"/>
    </row>
    <row r="81" spans="1:22" s="92" customFormat="1" ht="15" x14ac:dyDescent="0.25">
      <c r="A81" s="168" t="s">
        <v>196</v>
      </c>
      <c r="B81" s="168" t="s">
        <v>174</v>
      </c>
      <c r="C81" s="173">
        <v>0.6</v>
      </c>
      <c r="D81" s="173">
        <v>0.6</v>
      </c>
      <c r="E81" s="173">
        <v>0.6</v>
      </c>
      <c r="F81" s="173">
        <v>0.6</v>
      </c>
      <c r="G81" s="173">
        <v>0.6</v>
      </c>
      <c r="H81" s="173">
        <v>0.6</v>
      </c>
      <c r="I81" s="173">
        <v>0.6</v>
      </c>
      <c r="J81" s="174">
        <v>0.105687390789696</v>
      </c>
      <c r="K81" s="168">
        <v>4</v>
      </c>
      <c r="L81" s="168" t="s">
        <v>534</v>
      </c>
      <c r="M81" s="168" t="s">
        <v>175</v>
      </c>
      <c r="N81" s="168" t="s">
        <v>62</v>
      </c>
      <c r="O81" s="175">
        <v>0</v>
      </c>
      <c r="P81" s="176"/>
      <c r="Q81" s="176"/>
      <c r="R81" s="176"/>
      <c r="S81" s="176"/>
      <c r="T81" s="176"/>
      <c r="U81" s="176"/>
      <c r="V81" s="176"/>
    </row>
    <row r="82" spans="1:22" s="92" customFormat="1" ht="15" x14ac:dyDescent="0.25">
      <c r="A82" s="168" t="s">
        <v>377</v>
      </c>
      <c r="B82" s="168" t="s">
        <v>176</v>
      </c>
      <c r="C82" s="173">
        <v>0.13</v>
      </c>
      <c r="D82" s="173">
        <v>0.17</v>
      </c>
      <c r="E82" s="173">
        <v>0.13</v>
      </c>
      <c r="F82" s="173">
        <v>0.13</v>
      </c>
      <c r="G82" s="173">
        <v>0.13</v>
      </c>
      <c r="H82" s="173">
        <v>0.13</v>
      </c>
      <c r="I82" s="173">
        <v>0.13</v>
      </c>
      <c r="J82" s="174">
        <v>100</v>
      </c>
      <c r="K82" s="168">
        <v>4</v>
      </c>
      <c r="L82" s="168" t="s">
        <v>534</v>
      </c>
      <c r="M82" s="168" t="s">
        <v>176</v>
      </c>
      <c r="N82" s="168" t="s">
        <v>62</v>
      </c>
      <c r="O82" s="175">
        <v>0</v>
      </c>
      <c r="P82" s="176"/>
      <c r="Q82" s="176"/>
      <c r="R82" s="176"/>
      <c r="S82" s="176"/>
      <c r="T82" s="176"/>
      <c r="U82" s="176"/>
      <c r="V82" s="176"/>
    </row>
    <row r="83" spans="1:22" s="92" customFormat="1" ht="15" x14ac:dyDescent="0.25">
      <c r="A83" s="168" t="s">
        <v>171</v>
      </c>
      <c r="B83" s="168" t="s">
        <v>177</v>
      </c>
      <c r="C83" s="173">
        <v>0.3</v>
      </c>
      <c r="D83" s="173">
        <v>0.36299999999999999</v>
      </c>
      <c r="E83" s="173">
        <v>0.36299999999999999</v>
      </c>
      <c r="F83" s="173"/>
      <c r="G83" s="173"/>
      <c r="H83" s="173"/>
      <c r="I83" s="173"/>
      <c r="J83" s="174">
        <v>100</v>
      </c>
      <c r="K83" s="168">
        <v>4</v>
      </c>
      <c r="L83" s="168" t="s">
        <v>534</v>
      </c>
      <c r="M83" s="168" t="s">
        <v>178</v>
      </c>
      <c r="N83" s="168" t="s">
        <v>62</v>
      </c>
      <c r="O83" s="175">
        <v>0</v>
      </c>
      <c r="P83" s="176"/>
      <c r="Q83" s="176"/>
      <c r="R83" s="176"/>
      <c r="S83" s="176"/>
      <c r="T83" s="176"/>
      <c r="U83" s="176"/>
      <c r="V83" s="176"/>
    </row>
    <row r="84" spans="1:22" s="92" customFormat="1" ht="15" x14ac:dyDescent="0.25">
      <c r="A84" s="168" t="s">
        <v>449</v>
      </c>
      <c r="B84" s="168" t="s">
        <v>179</v>
      </c>
      <c r="C84" s="173">
        <v>25.832999999999998</v>
      </c>
      <c r="D84" s="173">
        <v>25.387</v>
      </c>
      <c r="E84" s="173">
        <v>22.408999999999999</v>
      </c>
      <c r="F84" s="173">
        <v>21.797000000000001</v>
      </c>
      <c r="G84" s="173">
        <v>20.542000000000002</v>
      </c>
      <c r="H84" s="173">
        <v>20.542000000000002</v>
      </c>
      <c r="I84" s="173">
        <v>20.542000000000002</v>
      </c>
      <c r="J84" s="174">
        <v>10.247768347113501</v>
      </c>
      <c r="K84" s="168">
        <v>2</v>
      </c>
      <c r="L84" s="168" t="s">
        <v>180</v>
      </c>
      <c r="M84" s="168" t="s">
        <v>181</v>
      </c>
      <c r="N84" s="168" t="s">
        <v>62</v>
      </c>
      <c r="O84" s="175">
        <v>0</v>
      </c>
      <c r="P84" s="176"/>
      <c r="Q84" s="176"/>
      <c r="R84" s="176"/>
      <c r="S84" s="176"/>
      <c r="T84" s="176"/>
      <c r="U84" s="176"/>
      <c r="V84" s="176"/>
    </row>
    <row r="85" spans="1:22" s="92" customFormat="1" ht="15" x14ac:dyDescent="0.25">
      <c r="A85" s="168" t="s">
        <v>451</v>
      </c>
      <c r="B85" s="168" t="s">
        <v>450</v>
      </c>
      <c r="C85" s="173">
        <v>8.3521328090000697</v>
      </c>
      <c r="D85" s="173">
        <v>7.5588570969712796</v>
      </c>
      <c r="E85" s="173">
        <v>7.2148271818199703</v>
      </c>
      <c r="F85" s="173">
        <v>7.0149761436084201</v>
      </c>
      <c r="G85" s="173">
        <v>6.9012381049109601</v>
      </c>
      <c r="H85" s="173">
        <v>6.8715383899896203</v>
      </c>
      <c r="I85" s="173">
        <v>6.8725427281753699</v>
      </c>
      <c r="J85" s="174">
        <v>28.791361115048396</v>
      </c>
      <c r="K85" s="168">
        <v>1.3</v>
      </c>
      <c r="L85" s="168"/>
      <c r="M85" s="168" t="s">
        <v>182</v>
      </c>
      <c r="N85" s="168" t="s">
        <v>62</v>
      </c>
      <c r="O85" s="175">
        <v>0</v>
      </c>
      <c r="P85" s="176"/>
      <c r="Q85" s="176"/>
      <c r="R85" s="176"/>
      <c r="S85" s="176"/>
      <c r="T85" s="176"/>
      <c r="U85" s="176"/>
      <c r="V85" s="176"/>
    </row>
    <row r="86" spans="1:22" s="92" customFormat="1" ht="15" x14ac:dyDescent="0.25">
      <c r="A86" s="168" t="s">
        <v>171</v>
      </c>
      <c r="B86" s="168" t="s">
        <v>445</v>
      </c>
      <c r="C86" s="173">
        <v>0.372</v>
      </c>
      <c r="D86" s="173">
        <v>0.25</v>
      </c>
      <c r="E86" s="173">
        <v>0.25</v>
      </c>
      <c r="F86" s="173">
        <v>0.2</v>
      </c>
      <c r="G86" s="173">
        <v>0.2</v>
      </c>
      <c r="H86" s="173">
        <v>0.15</v>
      </c>
      <c r="I86" s="173">
        <v>0.15</v>
      </c>
      <c r="J86" s="174">
        <v>100</v>
      </c>
      <c r="K86" s="168">
        <v>4</v>
      </c>
      <c r="L86" s="168" t="s">
        <v>534</v>
      </c>
      <c r="M86" s="168" t="s">
        <v>185</v>
      </c>
      <c r="N86" s="168" t="s">
        <v>62</v>
      </c>
      <c r="O86" s="175">
        <v>0</v>
      </c>
      <c r="P86" s="176"/>
      <c r="Q86" s="176"/>
      <c r="R86" s="176"/>
      <c r="S86" s="176"/>
      <c r="T86" s="176"/>
      <c r="U86" s="176"/>
      <c r="V86" s="176"/>
    </row>
    <row r="87" spans="1:22" s="92" customFormat="1" ht="15" x14ac:dyDescent="0.25">
      <c r="A87" s="168" t="s">
        <v>458</v>
      </c>
      <c r="B87" s="168" t="s">
        <v>186</v>
      </c>
      <c r="C87" s="173">
        <v>1.3149999999999999</v>
      </c>
      <c r="D87" s="173">
        <v>1.3149999999999999</v>
      </c>
      <c r="E87" s="173">
        <v>1.3149999999999999</v>
      </c>
      <c r="F87" s="173">
        <v>1.3149999999999999</v>
      </c>
      <c r="G87" s="173">
        <v>1.3149999999999999</v>
      </c>
      <c r="H87" s="173">
        <v>1.3149999999999999</v>
      </c>
      <c r="I87" s="173">
        <v>0</v>
      </c>
      <c r="J87" s="174">
        <v>2.8750710568892401</v>
      </c>
      <c r="K87" s="168">
        <v>4</v>
      </c>
      <c r="L87" s="168" t="s">
        <v>534</v>
      </c>
      <c r="M87" s="168" t="s">
        <v>187</v>
      </c>
      <c r="N87" s="168" t="s">
        <v>62</v>
      </c>
      <c r="O87" s="175">
        <v>0</v>
      </c>
      <c r="P87" s="176"/>
      <c r="Q87" s="176"/>
      <c r="R87" s="176"/>
      <c r="S87" s="176"/>
      <c r="T87" s="176"/>
      <c r="U87" s="176"/>
      <c r="V87" s="176"/>
    </row>
    <row r="88" spans="1:22" s="92" customFormat="1" ht="15" x14ac:dyDescent="0.25">
      <c r="A88" s="168" t="s">
        <v>171</v>
      </c>
      <c r="B88" s="168" t="s">
        <v>188</v>
      </c>
      <c r="C88" s="173">
        <v>0.08</v>
      </c>
      <c r="D88" s="173">
        <v>3.3000000000000002E-2</v>
      </c>
      <c r="E88" s="173">
        <v>3.3000000000000002E-2</v>
      </c>
      <c r="F88" s="173">
        <v>3.3000000000000002E-2</v>
      </c>
      <c r="G88" s="173">
        <v>3.3000000000000002E-2</v>
      </c>
      <c r="H88" s="173">
        <v>3.3000000000000002E-2</v>
      </c>
      <c r="I88" s="173">
        <v>3.3000000000000002E-2</v>
      </c>
      <c r="J88" s="174">
        <v>100</v>
      </c>
      <c r="K88" s="168">
        <v>4</v>
      </c>
      <c r="L88" s="168" t="s">
        <v>534</v>
      </c>
      <c r="M88" s="168" t="s">
        <v>189</v>
      </c>
      <c r="N88" s="168" t="s">
        <v>62</v>
      </c>
      <c r="O88" s="175">
        <v>0</v>
      </c>
      <c r="P88" s="176"/>
      <c r="Q88" s="176"/>
      <c r="R88" s="176"/>
      <c r="S88" s="176"/>
      <c r="T88" s="176"/>
      <c r="U88" s="176"/>
      <c r="V88" s="176"/>
    </row>
    <row r="89" spans="1:22" s="92" customFormat="1" ht="15" x14ac:dyDescent="0.25">
      <c r="A89" s="168" t="s">
        <v>459</v>
      </c>
      <c r="B89" s="168" t="s">
        <v>190</v>
      </c>
      <c r="C89" s="173">
        <v>3.7290000000000001</v>
      </c>
      <c r="D89" s="173">
        <v>3.7320000000000002</v>
      </c>
      <c r="E89" s="173">
        <v>3.9580000000000002</v>
      </c>
      <c r="F89" s="173">
        <v>3.9580000000000002</v>
      </c>
      <c r="G89" s="173">
        <v>3.9580000000000002</v>
      </c>
      <c r="H89" s="173">
        <v>3.9580000000000002</v>
      </c>
      <c r="I89" s="173">
        <v>3.9580000000000002</v>
      </c>
      <c r="J89" s="174">
        <v>22.771992405500299</v>
      </c>
      <c r="K89" s="168">
        <v>4</v>
      </c>
      <c r="L89" s="168" t="s">
        <v>534</v>
      </c>
      <c r="M89" s="168" t="s">
        <v>191</v>
      </c>
      <c r="N89" s="168" t="s">
        <v>62</v>
      </c>
      <c r="O89" s="175">
        <v>0</v>
      </c>
      <c r="P89" s="176"/>
      <c r="Q89" s="176"/>
      <c r="R89" s="176"/>
      <c r="S89" s="176"/>
      <c r="T89" s="176"/>
      <c r="U89" s="176"/>
      <c r="V89" s="176"/>
    </row>
    <row r="90" spans="1:22" s="92" customFormat="1" ht="15" x14ac:dyDescent="0.25">
      <c r="A90" s="168" t="s">
        <v>171</v>
      </c>
      <c r="B90" s="168" t="s">
        <v>446</v>
      </c>
      <c r="C90" s="173">
        <v>0.52500000000000002</v>
      </c>
      <c r="D90" s="173">
        <v>0.47499999999999998</v>
      </c>
      <c r="E90" s="173">
        <v>0.47499999999999998</v>
      </c>
      <c r="F90" s="173">
        <v>0.47499999999999998</v>
      </c>
      <c r="G90" s="173">
        <v>0.47499999999999998</v>
      </c>
      <c r="H90" s="173">
        <v>0.47499999999999998</v>
      </c>
      <c r="I90" s="173">
        <v>0.47499999999999998</v>
      </c>
      <c r="J90" s="174">
        <v>100</v>
      </c>
      <c r="K90" s="168">
        <v>4</v>
      </c>
      <c r="L90" s="168" t="s">
        <v>534</v>
      </c>
      <c r="M90" s="168" t="s">
        <v>192</v>
      </c>
      <c r="N90" s="168" t="s">
        <v>62</v>
      </c>
      <c r="O90" s="175">
        <v>0</v>
      </c>
      <c r="P90" s="176"/>
      <c r="Q90" s="176"/>
      <c r="R90" s="176"/>
      <c r="S90" s="176"/>
      <c r="T90" s="176"/>
      <c r="U90" s="176"/>
      <c r="V90" s="176"/>
    </row>
    <row r="91" spans="1:22" s="92" customFormat="1" ht="15" x14ac:dyDescent="0.25">
      <c r="A91" s="168" t="s">
        <v>460</v>
      </c>
      <c r="B91" s="168" t="s">
        <v>193</v>
      </c>
      <c r="C91" s="173">
        <v>0.89300000000000002</v>
      </c>
      <c r="D91" s="173">
        <v>1.321</v>
      </c>
      <c r="E91" s="173">
        <v>1.141</v>
      </c>
      <c r="F91" s="173">
        <v>1.141</v>
      </c>
      <c r="G91" s="173">
        <v>1.141</v>
      </c>
      <c r="H91" s="173">
        <v>1.141</v>
      </c>
      <c r="I91" s="173">
        <v>1.141</v>
      </c>
      <c r="J91" s="174">
        <v>3.6826646870864699</v>
      </c>
      <c r="K91" s="168">
        <v>2</v>
      </c>
      <c r="L91" s="168" t="s">
        <v>180</v>
      </c>
      <c r="M91" s="168" t="s">
        <v>48</v>
      </c>
      <c r="N91" s="168" t="s">
        <v>62</v>
      </c>
      <c r="O91" s="175">
        <v>0</v>
      </c>
      <c r="P91" s="176"/>
      <c r="Q91" s="176"/>
      <c r="R91" s="176"/>
      <c r="S91" s="176"/>
      <c r="T91" s="176"/>
      <c r="U91" s="176"/>
      <c r="V91" s="176"/>
    </row>
    <row r="92" spans="1:22" s="92" customFormat="1" ht="15" x14ac:dyDescent="0.25">
      <c r="A92" s="168" t="s">
        <v>171</v>
      </c>
      <c r="B92" s="168" t="s">
        <v>194</v>
      </c>
      <c r="C92" s="173">
        <v>0.7</v>
      </c>
      <c r="D92" s="173">
        <v>0.6</v>
      </c>
      <c r="E92" s="173">
        <v>0.6</v>
      </c>
      <c r="F92" s="173">
        <v>0.6</v>
      </c>
      <c r="G92" s="173">
        <v>0.6</v>
      </c>
      <c r="H92" s="173">
        <v>0.6</v>
      </c>
      <c r="I92" s="173">
        <v>0.6</v>
      </c>
      <c r="J92" s="174">
        <v>100</v>
      </c>
      <c r="K92" s="168">
        <v>4</v>
      </c>
      <c r="L92" s="168" t="s">
        <v>534</v>
      </c>
      <c r="M92" s="168" t="s">
        <v>195</v>
      </c>
      <c r="N92" s="168" t="s">
        <v>62</v>
      </c>
      <c r="O92" s="175">
        <v>0</v>
      </c>
      <c r="P92" s="176"/>
      <c r="Q92" s="176"/>
      <c r="R92" s="176"/>
      <c r="S92" s="176"/>
      <c r="T92" s="176"/>
      <c r="U92" s="176"/>
      <c r="V92" s="176"/>
    </row>
    <row r="93" spans="1:22" s="92" customFormat="1" ht="15" x14ac:dyDescent="0.25">
      <c r="A93" s="168" t="s">
        <v>447</v>
      </c>
      <c r="B93" s="168" t="s">
        <v>448</v>
      </c>
      <c r="C93" s="173">
        <v>0</v>
      </c>
      <c r="D93" s="173">
        <v>2.1019999999999999</v>
      </c>
      <c r="E93" s="173">
        <v>2.1019999999999999</v>
      </c>
      <c r="F93" s="173">
        <v>2.1019999999999999</v>
      </c>
      <c r="G93" s="173">
        <v>2.1019999999999999</v>
      </c>
      <c r="H93" s="173">
        <v>2.1019999999999999</v>
      </c>
      <c r="I93" s="173">
        <v>2.1019999999999999</v>
      </c>
      <c r="J93" s="174">
        <v>0.370258159066569</v>
      </c>
      <c r="K93" s="168">
        <v>4</v>
      </c>
      <c r="L93" s="168" t="s">
        <v>534</v>
      </c>
      <c r="M93" s="168" t="s">
        <v>512</v>
      </c>
      <c r="N93" s="168" t="s">
        <v>62</v>
      </c>
      <c r="O93" s="175">
        <v>0</v>
      </c>
      <c r="P93" s="175"/>
      <c r="Q93" s="176"/>
      <c r="R93" s="176"/>
      <c r="S93" s="176"/>
      <c r="T93" s="176"/>
      <c r="U93" s="176"/>
      <c r="V93" s="176"/>
    </row>
    <row r="94" spans="1:22" s="92" customFormat="1" ht="15" x14ac:dyDescent="0.25">
      <c r="A94" s="168" t="s">
        <v>196</v>
      </c>
      <c r="B94" s="168" t="s">
        <v>197</v>
      </c>
      <c r="C94" s="173">
        <v>0.1</v>
      </c>
      <c r="D94" s="173">
        <v>0.17499999999999999</v>
      </c>
      <c r="E94" s="173">
        <v>0.32500000000000001</v>
      </c>
      <c r="F94" s="173">
        <v>0.25</v>
      </c>
      <c r="G94" s="173">
        <v>0.25</v>
      </c>
      <c r="H94" s="173">
        <v>0.25</v>
      </c>
      <c r="I94" s="173">
        <v>0.25</v>
      </c>
      <c r="J94" s="174">
        <v>5.72473366777521E-2</v>
      </c>
      <c r="K94" s="168">
        <v>4</v>
      </c>
      <c r="L94" s="168" t="s">
        <v>534</v>
      </c>
      <c r="M94" s="168" t="s">
        <v>10</v>
      </c>
      <c r="N94" s="168" t="s">
        <v>63</v>
      </c>
      <c r="O94" s="175">
        <v>0</v>
      </c>
      <c r="P94" s="176"/>
      <c r="Q94" s="176"/>
      <c r="R94" s="176"/>
      <c r="S94" s="176"/>
      <c r="T94" s="176"/>
      <c r="U94" s="176"/>
      <c r="V94" s="176"/>
    </row>
    <row r="95" spans="1:22" s="92" customFormat="1" ht="15" x14ac:dyDescent="0.25">
      <c r="A95" s="168" t="s">
        <v>462</v>
      </c>
      <c r="B95" s="168" t="s">
        <v>198</v>
      </c>
      <c r="C95" s="173">
        <v>3.605</v>
      </c>
      <c r="D95" s="173">
        <v>3.3479999999999999</v>
      </c>
      <c r="E95" s="173">
        <v>3.22</v>
      </c>
      <c r="F95" s="173">
        <v>3.22</v>
      </c>
      <c r="G95" s="173">
        <v>3.22</v>
      </c>
      <c r="H95" s="173">
        <v>3.22</v>
      </c>
      <c r="I95" s="173">
        <v>3.22</v>
      </c>
      <c r="J95" s="174">
        <v>1.5001374349513401</v>
      </c>
      <c r="K95" s="168">
        <v>4</v>
      </c>
      <c r="L95" s="168" t="s">
        <v>534</v>
      </c>
      <c r="M95" s="168" t="s">
        <v>10</v>
      </c>
      <c r="N95" s="168" t="s">
        <v>63</v>
      </c>
      <c r="O95" s="175">
        <v>100</v>
      </c>
      <c r="P95" s="72">
        <f t="shared" ref="P95:T96" si="33">+$O95/100*C95</f>
        <v>3.605</v>
      </c>
      <c r="Q95" s="72">
        <f t="shared" si="33"/>
        <v>3.3479999999999999</v>
      </c>
      <c r="R95" s="72">
        <f t="shared" si="33"/>
        <v>3.22</v>
      </c>
      <c r="S95" s="72">
        <f t="shared" si="33"/>
        <v>3.22</v>
      </c>
      <c r="T95" s="72">
        <f t="shared" si="33"/>
        <v>3.22</v>
      </c>
      <c r="U95" s="72">
        <f t="shared" ref="U95:U96" si="34">+$O95/100*H95</f>
        <v>3.22</v>
      </c>
      <c r="V95" s="72">
        <f t="shared" ref="V95:V96" si="35">+$O95/100*I95</f>
        <v>3.22</v>
      </c>
    </row>
    <row r="96" spans="1:22" s="92" customFormat="1" ht="15" x14ac:dyDescent="0.25">
      <c r="A96" s="168" t="s">
        <v>196</v>
      </c>
      <c r="B96" s="168" t="s">
        <v>199</v>
      </c>
      <c r="C96" s="173">
        <v>3.4</v>
      </c>
      <c r="D96" s="173">
        <v>3.2970000000000002</v>
      </c>
      <c r="E96" s="173">
        <v>3.4</v>
      </c>
      <c r="F96" s="173">
        <v>3.4</v>
      </c>
      <c r="G96" s="173">
        <v>3.4</v>
      </c>
      <c r="H96" s="173">
        <v>3.4</v>
      </c>
      <c r="I96" s="173">
        <v>3.4</v>
      </c>
      <c r="J96" s="174">
        <v>0.59889521447494498</v>
      </c>
      <c r="K96" s="168">
        <v>4</v>
      </c>
      <c r="L96" s="168" t="s">
        <v>534</v>
      </c>
      <c r="M96" s="168" t="s">
        <v>10</v>
      </c>
      <c r="N96" s="168" t="s">
        <v>63</v>
      </c>
      <c r="O96" s="175">
        <v>100</v>
      </c>
      <c r="P96" s="72">
        <f t="shared" si="33"/>
        <v>3.4</v>
      </c>
      <c r="Q96" s="72">
        <f t="shared" si="33"/>
        <v>3.2970000000000002</v>
      </c>
      <c r="R96" s="72">
        <f t="shared" si="33"/>
        <v>3.4</v>
      </c>
      <c r="S96" s="72">
        <f t="shared" si="33"/>
        <v>3.4</v>
      </c>
      <c r="T96" s="72">
        <f t="shared" si="33"/>
        <v>3.4</v>
      </c>
      <c r="U96" s="72">
        <f t="shared" si="34"/>
        <v>3.4</v>
      </c>
      <c r="V96" s="72">
        <f t="shared" si="35"/>
        <v>3.4</v>
      </c>
    </row>
    <row r="97" spans="1:22" s="92" customFormat="1" ht="15" x14ac:dyDescent="0.25">
      <c r="A97" s="168" t="s">
        <v>196</v>
      </c>
      <c r="B97" s="168" t="s">
        <v>461</v>
      </c>
      <c r="C97" s="173">
        <v>0.44</v>
      </c>
      <c r="D97" s="173">
        <v>0.4</v>
      </c>
      <c r="E97" s="173">
        <v>0.4</v>
      </c>
      <c r="F97" s="173">
        <v>0.4</v>
      </c>
      <c r="G97" s="173">
        <v>0.4</v>
      </c>
      <c r="H97" s="173">
        <v>0.4</v>
      </c>
      <c r="I97" s="173">
        <v>0.4</v>
      </c>
      <c r="J97" s="174">
        <v>7.0458260526464089E-2</v>
      </c>
      <c r="K97" s="168">
        <v>4</v>
      </c>
      <c r="L97" s="168" t="s">
        <v>534</v>
      </c>
      <c r="M97" s="168" t="s">
        <v>189</v>
      </c>
      <c r="N97" s="168" t="s">
        <v>63</v>
      </c>
      <c r="O97" s="175">
        <v>0</v>
      </c>
      <c r="P97" s="176"/>
      <c r="Q97" s="176"/>
      <c r="R97" s="176"/>
      <c r="S97" s="176"/>
      <c r="T97" s="176"/>
      <c r="U97" s="176"/>
      <c r="V97" s="176"/>
    </row>
    <row r="98" spans="1:22" s="92" customFormat="1" ht="15" x14ac:dyDescent="0.25">
      <c r="A98" s="168" t="s">
        <v>452</v>
      </c>
      <c r="B98" s="168" t="s">
        <v>183</v>
      </c>
      <c r="C98" s="173">
        <v>0.04</v>
      </c>
      <c r="D98" s="173">
        <v>3.9E-2</v>
      </c>
      <c r="E98" s="173">
        <v>0.05</v>
      </c>
      <c r="F98" s="173">
        <v>0.05</v>
      </c>
      <c r="G98" s="173">
        <v>0.05</v>
      </c>
      <c r="H98" s="173">
        <v>0.05</v>
      </c>
      <c r="I98" s="173">
        <v>0.05</v>
      </c>
      <c r="J98" s="174">
        <v>0.20012007204322602</v>
      </c>
      <c r="K98" s="168">
        <v>4</v>
      </c>
      <c r="L98" s="168" t="s">
        <v>534</v>
      </c>
      <c r="M98" s="168" t="s">
        <v>184</v>
      </c>
      <c r="N98" s="168" t="s">
        <v>63</v>
      </c>
      <c r="O98" s="175">
        <v>0</v>
      </c>
      <c r="P98" s="176"/>
      <c r="Q98" s="176"/>
      <c r="R98" s="176"/>
      <c r="S98" s="176"/>
      <c r="T98" s="176"/>
      <c r="U98" s="176"/>
      <c r="V98" s="176"/>
    </row>
    <row r="99" spans="1:22" s="92" customFormat="1" ht="15" x14ac:dyDescent="0.25">
      <c r="A99" s="168" t="s">
        <v>463</v>
      </c>
      <c r="B99" s="168" t="s">
        <v>200</v>
      </c>
      <c r="C99" s="173">
        <v>2.14</v>
      </c>
      <c r="D99" s="173">
        <v>2.1549999999999998</v>
      </c>
      <c r="E99" s="173">
        <v>2.17</v>
      </c>
      <c r="F99" s="173">
        <v>2.145</v>
      </c>
      <c r="G99" s="173">
        <v>2.145</v>
      </c>
      <c r="H99" s="173">
        <v>2.145</v>
      </c>
      <c r="I99" s="173">
        <v>2.145</v>
      </c>
      <c r="J99" s="174">
        <v>4.72016183412003</v>
      </c>
      <c r="K99" s="168">
        <v>4</v>
      </c>
      <c r="L99" s="168" t="s">
        <v>534</v>
      </c>
      <c r="M99" s="168" t="s">
        <v>201</v>
      </c>
      <c r="N99" s="168" t="s">
        <v>63</v>
      </c>
      <c r="O99" s="175">
        <v>0</v>
      </c>
      <c r="P99" s="176"/>
      <c r="Q99" s="176"/>
      <c r="R99" s="176"/>
      <c r="S99" s="176"/>
      <c r="T99" s="176"/>
      <c r="U99" s="176"/>
      <c r="V99" s="176"/>
    </row>
    <row r="100" spans="1:22" s="92" customFormat="1" ht="15" x14ac:dyDescent="0.25">
      <c r="A100" s="168" t="s">
        <v>454</v>
      </c>
      <c r="B100" s="168" t="s">
        <v>453</v>
      </c>
      <c r="C100" s="173">
        <v>1.1200000000000001</v>
      </c>
      <c r="D100" s="173">
        <v>1</v>
      </c>
      <c r="E100" s="173">
        <v>1</v>
      </c>
      <c r="F100" s="173">
        <v>1</v>
      </c>
      <c r="G100" s="173">
        <v>1</v>
      </c>
      <c r="H100" s="173">
        <v>0.75</v>
      </c>
      <c r="I100" s="173">
        <v>0.75</v>
      </c>
      <c r="J100" s="174">
        <v>2.18636582272946</v>
      </c>
      <c r="K100" s="168">
        <v>4</v>
      </c>
      <c r="L100" s="168" t="s">
        <v>534</v>
      </c>
      <c r="M100" s="168" t="s">
        <v>28</v>
      </c>
      <c r="N100" s="168" t="s">
        <v>63</v>
      </c>
      <c r="O100" s="175">
        <v>0</v>
      </c>
      <c r="P100" s="176"/>
      <c r="Q100" s="176"/>
      <c r="R100" s="176"/>
      <c r="S100" s="176"/>
      <c r="T100" s="176"/>
      <c r="U100" s="176"/>
      <c r="V100" s="176"/>
    </row>
    <row r="101" spans="1:22" s="92" customFormat="1" ht="15" x14ac:dyDescent="0.25">
      <c r="A101" s="168" t="s">
        <v>457</v>
      </c>
      <c r="B101" s="168" t="s">
        <v>455</v>
      </c>
      <c r="C101" s="173">
        <v>0.27500000000000002</v>
      </c>
      <c r="D101" s="173">
        <v>0.27500000000000002</v>
      </c>
      <c r="E101" s="173">
        <v>0.27500000000000002</v>
      </c>
      <c r="F101" s="173">
        <v>0.27500000000000002</v>
      </c>
      <c r="G101" s="173">
        <v>0.27500000000000002</v>
      </c>
      <c r="H101" s="173">
        <v>0.27500000000000002</v>
      </c>
      <c r="I101" s="173">
        <v>0</v>
      </c>
      <c r="J101" s="174">
        <v>0.60000002384185791</v>
      </c>
      <c r="K101" s="168">
        <v>4</v>
      </c>
      <c r="L101" s="168" t="s">
        <v>534</v>
      </c>
      <c r="M101" s="168" t="s">
        <v>456</v>
      </c>
      <c r="N101" s="168" t="s">
        <v>63</v>
      </c>
      <c r="O101" s="175">
        <v>0</v>
      </c>
      <c r="P101" s="176"/>
      <c r="Q101" s="176"/>
      <c r="R101" s="176"/>
      <c r="S101" s="176"/>
      <c r="T101" s="176"/>
      <c r="U101" s="176"/>
      <c r="V101" s="176"/>
    </row>
    <row r="102" spans="1:22" s="92" customFormat="1" ht="15" x14ac:dyDescent="0.25">
      <c r="A102" s="168" t="s">
        <v>464</v>
      </c>
      <c r="B102" s="168" t="s">
        <v>202</v>
      </c>
      <c r="C102" s="173">
        <v>11.183999999999999</v>
      </c>
      <c r="D102" s="173">
        <v>12.96</v>
      </c>
      <c r="E102" s="173">
        <v>13.641</v>
      </c>
      <c r="F102" s="173">
        <v>18.245000000000001</v>
      </c>
      <c r="G102" s="173">
        <v>1.0349999999999999</v>
      </c>
      <c r="H102" s="173">
        <v>1.0349999999999999</v>
      </c>
      <c r="I102" s="173">
        <v>0.98499999999999999</v>
      </c>
      <c r="J102" s="174">
        <v>2.0633417635740998</v>
      </c>
      <c r="K102" s="168">
        <v>4</v>
      </c>
      <c r="L102" s="168" t="s">
        <v>534</v>
      </c>
      <c r="M102" s="168" t="s">
        <v>63</v>
      </c>
      <c r="N102" s="168" t="s">
        <v>63</v>
      </c>
      <c r="O102" s="175">
        <v>0</v>
      </c>
      <c r="P102" s="176"/>
      <c r="Q102" s="176"/>
      <c r="R102" s="176"/>
      <c r="S102" s="176"/>
      <c r="T102" s="176"/>
      <c r="U102" s="176"/>
      <c r="V102" s="176"/>
    </row>
    <row r="103" spans="1:22" s="92" customFormat="1" ht="15" x14ac:dyDescent="0.25">
      <c r="A103" s="168" t="s">
        <v>464</v>
      </c>
      <c r="B103" s="168" t="s">
        <v>202</v>
      </c>
      <c r="C103" s="173">
        <v>2.6110000000000002</v>
      </c>
      <c r="D103" s="173">
        <v>1.25</v>
      </c>
      <c r="E103" s="173">
        <v>0.95</v>
      </c>
      <c r="F103" s="173">
        <v>0.95</v>
      </c>
      <c r="G103" s="173">
        <v>0.95</v>
      </c>
      <c r="H103" s="173">
        <v>0.95</v>
      </c>
      <c r="I103" s="173">
        <v>0.95</v>
      </c>
      <c r="J103" s="174">
        <v>0.143697285785162</v>
      </c>
      <c r="K103" s="168">
        <v>4</v>
      </c>
      <c r="L103" s="168" t="s">
        <v>534</v>
      </c>
      <c r="M103" s="168" t="s">
        <v>201</v>
      </c>
      <c r="N103" s="168" t="s">
        <v>63</v>
      </c>
      <c r="O103" s="175">
        <v>0</v>
      </c>
      <c r="P103" s="176"/>
      <c r="Q103" s="176"/>
      <c r="R103" s="176"/>
      <c r="S103" s="176"/>
      <c r="T103" s="176"/>
      <c r="U103" s="176"/>
      <c r="V103" s="176"/>
    </row>
    <row r="104" spans="1:22" s="92" customFormat="1" ht="15" x14ac:dyDescent="0.25">
      <c r="A104" s="212">
        <v>1213</v>
      </c>
      <c r="B104" s="168" t="s">
        <v>514</v>
      </c>
      <c r="C104" s="173">
        <v>0</v>
      </c>
      <c r="D104" s="173">
        <v>2.2999999999999998</v>
      </c>
      <c r="E104" s="173">
        <v>0</v>
      </c>
      <c r="F104" s="173">
        <v>0</v>
      </c>
      <c r="G104" s="173">
        <v>0</v>
      </c>
      <c r="H104" s="173">
        <v>0</v>
      </c>
      <c r="I104" s="173">
        <v>0</v>
      </c>
      <c r="J104" s="174">
        <v>0</v>
      </c>
      <c r="K104" s="168">
        <v>2</v>
      </c>
      <c r="L104" s="168" t="s">
        <v>180</v>
      </c>
      <c r="M104" s="168" t="s">
        <v>515</v>
      </c>
      <c r="N104" s="168" t="s">
        <v>63</v>
      </c>
      <c r="O104" s="175">
        <v>0</v>
      </c>
      <c r="P104" s="176"/>
      <c r="Q104" s="176"/>
      <c r="R104" s="176"/>
      <c r="S104" s="176"/>
      <c r="T104" s="176"/>
      <c r="U104" s="176"/>
      <c r="V104" s="176"/>
    </row>
    <row r="105" spans="1:22" s="3" customFormat="1" ht="15" x14ac:dyDescent="0.25">
      <c r="A105" s="92"/>
      <c r="B105" s="3" t="s">
        <v>124</v>
      </c>
      <c r="C105" s="12">
        <f t="shared" ref="C105:I105" si="36">SUM(C80:C104)</f>
        <v>67.877132809000059</v>
      </c>
      <c r="D105" s="12">
        <f t="shared" si="36"/>
        <v>71.105857096971263</v>
      </c>
      <c r="E105" s="12">
        <f t="shared" si="36"/>
        <v>66.021827181819972</v>
      </c>
      <c r="F105" s="12">
        <f t="shared" si="36"/>
        <v>69.300976143608423</v>
      </c>
      <c r="G105" s="12">
        <f t="shared" si="36"/>
        <v>50.722238104910957</v>
      </c>
      <c r="H105" s="12">
        <f t="shared" si="36"/>
        <v>50.392538389989618</v>
      </c>
      <c r="I105" s="12">
        <f t="shared" si="36"/>
        <v>48.753542728175368</v>
      </c>
      <c r="L105" s="1"/>
      <c r="O105" s="77"/>
      <c r="P105" s="6">
        <f t="shared" ref="P105:V105" si="37">+SUM(P80:P103)</f>
        <v>7.0049999999999999</v>
      </c>
      <c r="Q105" s="6">
        <f t="shared" si="37"/>
        <v>6.6449999999999996</v>
      </c>
      <c r="R105" s="6">
        <f t="shared" si="37"/>
        <v>6.62</v>
      </c>
      <c r="S105" s="6">
        <f t="shared" si="37"/>
        <v>6.62</v>
      </c>
      <c r="T105" s="6">
        <f t="shared" si="37"/>
        <v>6.62</v>
      </c>
      <c r="U105" s="6">
        <f t="shared" si="37"/>
        <v>6.62</v>
      </c>
      <c r="V105" s="6">
        <f t="shared" si="37"/>
        <v>6.62</v>
      </c>
    </row>
    <row r="106" spans="1:22" s="1" customFormat="1" x14ac:dyDescent="0.2">
      <c r="C106" s="63"/>
      <c r="D106" s="63"/>
      <c r="E106" s="63"/>
      <c r="F106" s="63"/>
      <c r="G106" s="63"/>
      <c r="H106" s="63"/>
      <c r="I106" s="63"/>
      <c r="O106" s="76"/>
      <c r="P106" s="71"/>
      <c r="Q106" s="71"/>
      <c r="R106" s="71"/>
      <c r="S106" s="71"/>
      <c r="T106" s="71"/>
      <c r="U106" s="71"/>
      <c r="V106" s="71"/>
    </row>
    <row r="107" spans="1:22" s="2" customFormat="1" ht="15" x14ac:dyDescent="0.25">
      <c r="A107" s="16"/>
      <c r="B107" s="15" t="s">
        <v>3</v>
      </c>
      <c r="C107" s="68"/>
      <c r="D107" s="68"/>
      <c r="E107" s="68"/>
      <c r="F107" s="68"/>
      <c r="G107" s="68"/>
      <c r="H107" s="68"/>
      <c r="I107" s="68"/>
      <c r="J107" s="16"/>
      <c r="K107" s="16"/>
      <c r="L107" s="17"/>
      <c r="M107" s="16"/>
      <c r="N107" s="16"/>
      <c r="O107" s="16"/>
      <c r="P107" s="74"/>
      <c r="Q107" s="74"/>
      <c r="R107" s="74"/>
      <c r="S107" s="74"/>
      <c r="T107" s="74"/>
      <c r="U107" s="74"/>
      <c r="V107" s="74"/>
    </row>
    <row r="108" spans="1:22" s="3" customFormat="1" ht="15" x14ac:dyDescent="0.25">
      <c r="A108" s="92" t="s">
        <v>97</v>
      </c>
      <c r="B108" s="3" t="s">
        <v>4</v>
      </c>
      <c r="C108" s="12"/>
      <c r="D108" s="12"/>
      <c r="E108" s="12"/>
      <c r="F108" s="12"/>
      <c r="G108" s="12"/>
      <c r="H108" s="12"/>
      <c r="I108" s="12"/>
      <c r="L108" s="1"/>
      <c r="O108" s="77"/>
      <c r="P108" s="71">
        <f t="shared" ref="P108:V108" si="38">+SUM(P109:P112)</f>
        <v>3.8232500000000003</v>
      </c>
      <c r="Q108" s="71">
        <f t="shared" si="38"/>
        <v>3.8705000000000003</v>
      </c>
      <c r="R108" s="71">
        <f t="shared" si="38"/>
        <v>3.66025</v>
      </c>
      <c r="S108" s="71">
        <f t="shared" si="38"/>
        <v>3.5042499999999999</v>
      </c>
      <c r="T108" s="71">
        <f t="shared" si="38"/>
        <v>3.3287499999999999</v>
      </c>
      <c r="U108" s="71">
        <f t="shared" si="38"/>
        <v>3.3287499999999999</v>
      </c>
      <c r="V108" s="71">
        <f t="shared" si="38"/>
        <v>3.3287499999999999</v>
      </c>
    </row>
    <row r="109" spans="1:22" s="7" customFormat="1" x14ac:dyDescent="0.2">
      <c r="A109" s="169">
        <v>11</v>
      </c>
      <c r="B109" s="7" t="s">
        <v>5</v>
      </c>
      <c r="C109" s="177">
        <v>0.24349999999999999</v>
      </c>
      <c r="D109" s="177">
        <v>0.309</v>
      </c>
      <c r="E109" s="177">
        <v>0.26700000000000002</v>
      </c>
      <c r="F109" s="177">
        <v>0.26700000000000002</v>
      </c>
      <c r="G109" s="177">
        <v>0.26700000000000002</v>
      </c>
      <c r="H109" s="177">
        <v>0.26700000000000002</v>
      </c>
      <c r="I109" s="177">
        <v>0.26700000000000002</v>
      </c>
      <c r="J109" s="10">
        <v>50</v>
      </c>
      <c r="K109" s="10">
        <v>6</v>
      </c>
      <c r="L109" s="10" t="s">
        <v>246</v>
      </c>
      <c r="M109" s="10" t="s">
        <v>6</v>
      </c>
      <c r="N109" s="10" t="s">
        <v>63</v>
      </c>
      <c r="O109" s="78">
        <v>50</v>
      </c>
      <c r="P109" s="72">
        <f t="shared" ref="P109:T112" si="39">+$O109/$J109*C109</f>
        <v>0.24349999999999999</v>
      </c>
      <c r="Q109" s="72">
        <f t="shared" si="39"/>
        <v>0.309</v>
      </c>
      <c r="R109" s="72">
        <f t="shared" si="39"/>
        <v>0.26700000000000002</v>
      </c>
      <c r="S109" s="72">
        <f t="shared" si="39"/>
        <v>0.26700000000000002</v>
      </c>
      <c r="T109" s="72">
        <f t="shared" si="39"/>
        <v>0.26700000000000002</v>
      </c>
      <c r="U109" s="72">
        <f t="shared" ref="U109:V109" si="40">+$O109/$J109*H109</f>
        <v>0.26700000000000002</v>
      </c>
      <c r="V109" s="72">
        <f t="shared" si="40"/>
        <v>0.26700000000000002</v>
      </c>
    </row>
    <row r="110" spans="1:22" s="7" customFormat="1" ht="15" customHeight="1" x14ac:dyDescent="0.2">
      <c r="A110" s="169">
        <v>11</v>
      </c>
      <c r="B110" s="7" t="s">
        <v>7</v>
      </c>
      <c r="C110" s="177">
        <v>0.61420000000000008</v>
      </c>
      <c r="D110" s="177">
        <v>1.1084000000000001</v>
      </c>
      <c r="E110" s="177">
        <v>1.2872000000000001</v>
      </c>
      <c r="F110" s="177">
        <v>1.1319999999999999</v>
      </c>
      <c r="G110" s="177">
        <v>1.0964</v>
      </c>
      <c r="H110" s="177">
        <v>1.3129999999999999</v>
      </c>
      <c r="I110" s="177">
        <v>1.0924</v>
      </c>
      <c r="J110" s="10">
        <v>20</v>
      </c>
      <c r="K110" s="10">
        <v>4</v>
      </c>
      <c r="L110" s="168" t="s">
        <v>534</v>
      </c>
      <c r="M110" s="10" t="s">
        <v>8</v>
      </c>
      <c r="N110" s="10" t="s">
        <v>62</v>
      </c>
      <c r="O110" s="78">
        <v>0</v>
      </c>
      <c r="P110" s="72">
        <f t="shared" si="39"/>
        <v>0</v>
      </c>
      <c r="Q110" s="72">
        <f t="shared" si="39"/>
        <v>0</v>
      </c>
      <c r="R110" s="72">
        <f t="shared" si="39"/>
        <v>0</v>
      </c>
      <c r="S110" s="72">
        <f t="shared" si="39"/>
        <v>0</v>
      </c>
      <c r="T110" s="72">
        <f t="shared" si="39"/>
        <v>0</v>
      </c>
      <c r="U110" s="72">
        <f t="shared" ref="U110:U112" si="41">+$O110/$J110*H110</f>
        <v>0</v>
      </c>
      <c r="V110" s="72">
        <f t="shared" ref="V110:V112" si="42">+$O110/$J110*I110</f>
        <v>0</v>
      </c>
    </row>
    <row r="111" spans="1:22" s="7" customFormat="1" x14ac:dyDescent="0.2">
      <c r="A111" s="169">
        <v>11</v>
      </c>
      <c r="B111" s="7" t="s">
        <v>9</v>
      </c>
      <c r="C111" s="177">
        <v>3.5797500000000002</v>
      </c>
      <c r="D111" s="177">
        <v>3.5615000000000001</v>
      </c>
      <c r="E111" s="177">
        <v>3.3932500000000001</v>
      </c>
      <c r="F111" s="177">
        <v>3.23725</v>
      </c>
      <c r="G111" s="177">
        <v>3.06175</v>
      </c>
      <c r="H111" s="177">
        <v>3.06175</v>
      </c>
      <c r="I111" s="177">
        <v>3.06175</v>
      </c>
      <c r="J111" s="10">
        <v>25</v>
      </c>
      <c r="K111" s="10">
        <v>6</v>
      </c>
      <c r="L111" s="10" t="s">
        <v>246</v>
      </c>
      <c r="M111" s="10" t="s">
        <v>10</v>
      </c>
      <c r="N111" s="10" t="s">
        <v>62</v>
      </c>
      <c r="O111" s="78">
        <v>25</v>
      </c>
      <c r="P111" s="72">
        <f t="shared" si="39"/>
        <v>3.5797500000000002</v>
      </c>
      <c r="Q111" s="72">
        <f t="shared" si="39"/>
        <v>3.5615000000000001</v>
      </c>
      <c r="R111" s="72">
        <f t="shared" si="39"/>
        <v>3.3932500000000001</v>
      </c>
      <c r="S111" s="72">
        <f t="shared" si="39"/>
        <v>3.23725</v>
      </c>
      <c r="T111" s="72">
        <f t="shared" si="39"/>
        <v>3.06175</v>
      </c>
      <c r="U111" s="72">
        <f t="shared" si="41"/>
        <v>3.06175</v>
      </c>
      <c r="V111" s="72">
        <f t="shared" si="42"/>
        <v>3.06175</v>
      </c>
    </row>
    <row r="112" spans="1:22" s="7" customFormat="1" x14ac:dyDescent="0.2">
      <c r="A112" s="169">
        <v>11</v>
      </c>
      <c r="B112" s="7" t="s">
        <v>11</v>
      </c>
      <c r="C112" s="177">
        <v>7.7695500000000006</v>
      </c>
      <c r="D112" s="177">
        <v>7.53775</v>
      </c>
      <c r="E112" s="177">
        <v>7.13</v>
      </c>
      <c r="F112" s="177">
        <v>6.8078500000000002</v>
      </c>
      <c r="G112" s="177">
        <v>6.5402500000000003</v>
      </c>
      <c r="H112" s="177">
        <v>6.5402500000000003</v>
      </c>
      <c r="I112" s="177">
        <v>6.5402500000000003</v>
      </c>
      <c r="J112" s="10">
        <v>5</v>
      </c>
      <c r="K112" s="10">
        <v>11</v>
      </c>
      <c r="L112" s="168" t="s">
        <v>95</v>
      </c>
      <c r="M112" s="10" t="s">
        <v>12</v>
      </c>
      <c r="N112" s="10" t="s">
        <v>62</v>
      </c>
      <c r="O112" s="78">
        <v>0</v>
      </c>
      <c r="P112" s="72">
        <f t="shared" si="39"/>
        <v>0</v>
      </c>
      <c r="Q112" s="72">
        <f t="shared" si="39"/>
        <v>0</v>
      </c>
      <c r="R112" s="72">
        <f t="shared" si="39"/>
        <v>0</v>
      </c>
      <c r="S112" s="72">
        <f t="shared" si="39"/>
        <v>0</v>
      </c>
      <c r="T112" s="72">
        <f t="shared" si="39"/>
        <v>0</v>
      </c>
      <c r="U112" s="72">
        <f t="shared" si="41"/>
        <v>0</v>
      </c>
      <c r="V112" s="72">
        <f t="shared" si="42"/>
        <v>0</v>
      </c>
    </row>
    <row r="113" spans="1:22" s="92" customFormat="1" ht="15" x14ac:dyDescent="0.25">
      <c r="A113" s="170" t="s">
        <v>98</v>
      </c>
      <c r="B113" s="176" t="s">
        <v>13</v>
      </c>
      <c r="C113" s="178"/>
      <c r="D113" s="178"/>
      <c r="E113" s="178"/>
      <c r="F113" s="178"/>
      <c r="G113" s="178"/>
      <c r="H113" s="178"/>
      <c r="I113" s="178"/>
      <c r="L113" s="23"/>
      <c r="O113" s="179"/>
      <c r="P113" s="73">
        <f t="shared" ref="P113:V113" si="43">+SUM(P114:P142)</f>
        <v>565.99829999999986</v>
      </c>
      <c r="Q113" s="73">
        <f t="shared" si="43"/>
        <v>580.32069999999999</v>
      </c>
      <c r="R113" s="73">
        <f t="shared" si="43"/>
        <v>502.34410000000003</v>
      </c>
      <c r="S113" s="73">
        <f t="shared" si="43"/>
        <v>501.95910000000003</v>
      </c>
      <c r="T113" s="73">
        <f t="shared" si="43"/>
        <v>499.19479999999999</v>
      </c>
      <c r="U113" s="73">
        <f t="shared" si="43"/>
        <v>492.98039999999992</v>
      </c>
      <c r="V113" s="73">
        <f t="shared" si="43"/>
        <v>513.34569999999985</v>
      </c>
    </row>
    <row r="114" spans="1:22" s="7" customFormat="1" x14ac:dyDescent="0.2">
      <c r="A114" s="7" t="s">
        <v>14</v>
      </c>
      <c r="B114" s="7" t="s">
        <v>69</v>
      </c>
      <c r="C114" s="142">
        <v>0.76200000000000001</v>
      </c>
      <c r="D114" s="142">
        <v>0.39700000000000002</v>
      </c>
      <c r="E114" s="142">
        <v>0</v>
      </c>
      <c r="F114" s="142">
        <v>0</v>
      </c>
      <c r="G114" s="142">
        <v>0</v>
      </c>
      <c r="H114" s="142">
        <v>0</v>
      </c>
      <c r="I114" s="142">
        <v>0</v>
      </c>
      <c r="J114" s="7">
        <v>100</v>
      </c>
      <c r="K114" s="7">
        <v>3</v>
      </c>
      <c r="L114" s="7" t="s">
        <v>145</v>
      </c>
      <c r="M114" s="7" t="s">
        <v>15</v>
      </c>
      <c r="N114" s="10" t="s">
        <v>63</v>
      </c>
      <c r="O114" s="78">
        <v>100</v>
      </c>
      <c r="P114" s="72">
        <f t="shared" ref="P114:P142" si="44">+$O114/$J114*C114</f>
        <v>0.76200000000000001</v>
      </c>
      <c r="Q114" s="72">
        <f t="shared" ref="Q114:Q142" si="45">+$O114/$J114*D114</f>
        <v>0.39700000000000002</v>
      </c>
      <c r="R114" s="72">
        <f t="shared" ref="R114:R142" si="46">+$O114/$J114*E114</f>
        <v>0</v>
      </c>
      <c r="S114" s="72">
        <f t="shared" ref="S114:S142" si="47">+$O114/$J114*F114</f>
        <v>0</v>
      </c>
      <c r="T114" s="72">
        <f t="shared" ref="T114:T142" si="48">+$O114/$J114*G114</f>
        <v>0</v>
      </c>
      <c r="U114" s="72">
        <f t="shared" ref="U114:U142" si="49">+$O114/$J114*H114</f>
        <v>0</v>
      </c>
      <c r="V114" s="72">
        <f t="shared" ref="V114:V142" si="50">+$O114/$J114*I114</f>
        <v>0</v>
      </c>
    </row>
    <row r="115" spans="1:22" s="7" customFormat="1" x14ac:dyDescent="0.2">
      <c r="A115" s="7" t="s">
        <v>14</v>
      </c>
      <c r="B115" s="7" t="s">
        <v>69</v>
      </c>
      <c r="C115" s="142">
        <v>6.5549999999999997</v>
      </c>
      <c r="D115" s="142">
        <v>23.827000000000002</v>
      </c>
      <c r="E115" s="142">
        <v>3.0030000000000001</v>
      </c>
      <c r="F115" s="142">
        <v>2.504</v>
      </c>
      <c r="G115" s="142">
        <v>0</v>
      </c>
      <c r="H115" s="142">
        <v>0</v>
      </c>
      <c r="I115" s="142">
        <v>0</v>
      </c>
      <c r="J115" s="7">
        <v>100</v>
      </c>
      <c r="K115" s="7">
        <v>6</v>
      </c>
      <c r="L115" s="10" t="s">
        <v>246</v>
      </c>
      <c r="M115" s="7" t="s">
        <v>16</v>
      </c>
      <c r="N115" s="10" t="s">
        <v>63</v>
      </c>
      <c r="O115" s="78">
        <v>100</v>
      </c>
      <c r="P115" s="72">
        <f t="shared" si="44"/>
        <v>6.5549999999999997</v>
      </c>
      <c r="Q115" s="72">
        <f t="shared" si="45"/>
        <v>23.827000000000002</v>
      </c>
      <c r="R115" s="72">
        <f t="shared" si="46"/>
        <v>3.0030000000000001</v>
      </c>
      <c r="S115" s="72">
        <f t="shared" si="47"/>
        <v>2.504</v>
      </c>
      <c r="T115" s="72">
        <f t="shared" si="48"/>
        <v>0</v>
      </c>
      <c r="U115" s="72">
        <f t="shared" si="49"/>
        <v>0</v>
      </c>
      <c r="V115" s="72">
        <f t="shared" si="50"/>
        <v>0</v>
      </c>
    </row>
    <row r="116" spans="1:22" s="7" customFormat="1" x14ac:dyDescent="0.2">
      <c r="A116" s="7" t="s">
        <v>59</v>
      </c>
      <c r="B116" s="7" t="s">
        <v>387</v>
      </c>
      <c r="C116" s="142">
        <v>25.521999999999998</v>
      </c>
      <c r="D116" s="142">
        <v>31.733000000000001</v>
      </c>
      <c r="E116" s="142">
        <v>25.667000000000002</v>
      </c>
      <c r="F116" s="142">
        <v>33.646000000000001</v>
      </c>
      <c r="G116" s="142">
        <v>28.352</v>
      </c>
      <c r="H116" s="142">
        <v>21.202000000000002</v>
      </c>
      <c r="I116" s="142">
        <v>29.847999999999999</v>
      </c>
      <c r="J116" s="7">
        <v>100</v>
      </c>
      <c r="K116" s="7">
        <v>6</v>
      </c>
      <c r="L116" s="10" t="s">
        <v>246</v>
      </c>
      <c r="M116" s="7" t="s">
        <v>16</v>
      </c>
      <c r="N116" s="10" t="s">
        <v>63</v>
      </c>
      <c r="O116" s="78">
        <v>100</v>
      </c>
      <c r="P116" s="72">
        <f t="shared" si="44"/>
        <v>25.521999999999998</v>
      </c>
      <c r="Q116" s="72">
        <f t="shared" si="45"/>
        <v>31.733000000000001</v>
      </c>
      <c r="R116" s="72">
        <f t="shared" si="46"/>
        <v>25.667000000000002</v>
      </c>
      <c r="S116" s="72">
        <f t="shared" si="47"/>
        <v>33.646000000000001</v>
      </c>
      <c r="T116" s="72">
        <f t="shared" si="48"/>
        <v>28.352</v>
      </c>
      <c r="U116" s="72">
        <f t="shared" si="49"/>
        <v>21.202000000000002</v>
      </c>
      <c r="V116" s="72">
        <f t="shared" si="50"/>
        <v>29.847999999999999</v>
      </c>
    </row>
    <row r="117" spans="1:22" s="7" customFormat="1" x14ac:dyDescent="0.2">
      <c r="A117" s="7" t="s">
        <v>474</v>
      </c>
      <c r="B117" s="7" t="s">
        <v>387</v>
      </c>
      <c r="C117" s="142">
        <v>17.760000000000002</v>
      </c>
      <c r="D117" s="142">
        <v>44.606999999999999</v>
      </c>
      <c r="E117" s="142">
        <v>15.358000000000001</v>
      </c>
      <c r="F117" s="142">
        <v>18.378</v>
      </c>
      <c r="G117" s="142">
        <v>18.366</v>
      </c>
      <c r="H117" s="142">
        <v>17.661999999999999</v>
      </c>
      <c r="I117" s="142">
        <v>19.361999999999998</v>
      </c>
      <c r="J117" s="7">
        <v>100</v>
      </c>
      <c r="K117" s="7">
        <v>6</v>
      </c>
      <c r="L117" s="10" t="s">
        <v>246</v>
      </c>
      <c r="M117" s="7" t="s">
        <v>16</v>
      </c>
      <c r="N117" s="10" t="s">
        <v>63</v>
      </c>
      <c r="O117" s="78">
        <v>100</v>
      </c>
      <c r="P117" s="72">
        <f t="shared" si="44"/>
        <v>17.760000000000002</v>
      </c>
      <c r="Q117" s="72">
        <f t="shared" si="45"/>
        <v>44.606999999999999</v>
      </c>
      <c r="R117" s="72">
        <f t="shared" si="46"/>
        <v>15.358000000000001</v>
      </c>
      <c r="S117" s="72">
        <f t="shared" si="47"/>
        <v>18.378</v>
      </c>
      <c r="T117" s="72">
        <f t="shared" si="48"/>
        <v>18.366</v>
      </c>
      <c r="U117" s="72">
        <f t="shared" si="49"/>
        <v>17.661999999999999</v>
      </c>
      <c r="V117" s="72">
        <f t="shared" si="50"/>
        <v>19.361999999999998</v>
      </c>
    </row>
    <row r="118" spans="1:22" s="7" customFormat="1" x14ac:dyDescent="0.2">
      <c r="A118" s="7" t="s">
        <v>60</v>
      </c>
      <c r="B118" s="7" t="s">
        <v>388</v>
      </c>
      <c r="C118" s="142">
        <v>9.4009999999999998</v>
      </c>
      <c r="D118" s="142">
        <v>12.9969</v>
      </c>
      <c r="E118" s="142">
        <v>14.055299999999999</v>
      </c>
      <c r="F118" s="142">
        <v>14.2919</v>
      </c>
      <c r="G118" s="142">
        <v>19.794599999999999</v>
      </c>
      <c r="H118" s="142">
        <v>18.5318</v>
      </c>
      <c r="I118" s="142">
        <v>19.092500000000001</v>
      </c>
      <c r="J118" s="7">
        <v>70</v>
      </c>
      <c r="K118" s="7">
        <v>6</v>
      </c>
      <c r="L118" s="10" t="s">
        <v>246</v>
      </c>
      <c r="M118" s="7" t="s">
        <v>16</v>
      </c>
      <c r="N118" s="10" t="s">
        <v>63</v>
      </c>
      <c r="O118" s="78">
        <v>70</v>
      </c>
      <c r="P118" s="72">
        <f t="shared" si="44"/>
        <v>9.4009999999999998</v>
      </c>
      <c r="Q118" s="72">
        <f t="shared" si="45"/>
        <v>12.9969</v>
      </c>
      <c r="R118" s="72">
        <f t="shared" si="46"/>
        <v>14.055299999999999</v>
      </c>
      <c r="S118" s="72">
        <f t="shared" si="47"/>
        <v>14.2919</v>
      </c>
      <c r="T118" s="72">
        <f t="shared" si="48"/>
        <v>19.794599999999999</v>
      </c>
      <c r="U118" s="72">
        <f t="shared" si="49"/>
        <v>18.5318</v>
      </c>
      <c r="V118" s="72">
        <f t="shared" si="50"/>
        <v>19.092500000000001</v>
      </c>
    </row>
    <row r="119" spans="1:22" s="7" customFormat="1" x14ac:dyDescent="0.2">
      <c r="A119" s="7" t="s">
        <v>59</v>
      </c>
      <c r="B119" s="7" t="s">
        <v>389</v>
      </c>
      <c r="C119" s="142">
        <v>14.7582</v>
      </c>
      <c r="D119" s="142">
        <v>41.095800000000004</v>
      </c>
      <c r="E119" s="142">
        <v>30.619799999999998</v>
      </c>
      <c r="F119" s="142">
        <v>27.992699999999999</v>
      </c>
      <c r="G119" s="142">
        <v>26.2377</v>
      </c>
      <c r="H119" s="142">
        <v>25.460099999999997</v>
      </c>
      <c r="I119" s="142">
        <v>31.246200000000002</v>
      </c>
      <c r="J119" s="7">
        <v>90</v>
      </c>
      <c r="K119" s="7">
        <v>6</v>
      </c>
      <c r="L119" s="10" t="s">
        <v>246</v>
      </c>
      <c r="M119" s="7" t="s">
        <v>19</v>
      </c>
      <c r="N119" s="10" t="s">
        <v>63</v>
      </c>
      <c r="O119" s="78">
        <v>90</v>
      </c>
      <c r="P119" s="72">
        <f t="shared" si="44"/>
        <v>14.7582</v>
      </c>
      <c r="Q119" s="72">
        <f t="shared" si="45"/>
        <v>41.095800000000004</v>
      </c>
      <c r="R119" s="72">
        <f t="shared" si="46"/>
        <v>30.619799999999998</v>
      </c>
      <c r="S119" s="72">
        <f t="shared" si="47"/>
        <v>27.992699999999999</v>
      </c>
      <c r="T119" s="72">
        <f t="shared" si="48"/>
        <v>26.2377</v>
      </c>
      <c r="U119" s="72">
        <f t="shared" si="49"/>
        <v>25.460099999999997</v>
      </c>
      <c r="V119" s="72">
        <f t="shared" si="50"/>
        <v>31.246200000000002</v>
      </c>
    </row>
    <row r="120" spans="1:22" s="7" customFormat="1" x14ac:dyDescent="0.2">
      <c r="A120" s="7" t="s">
        <v>17</v>
      </c>
      <c r="B120" s="135" t="s">
        <v>390</v>
      </c>
      <c r="C120" s="142">
        <v>6</v>
      </c>
      <c r="D120" s="142">
        <v>16.2</v>
      </c>
      <c r="E120" s="142">
        <v>18.350000000000001</v>
      </c>
      <c r="F120" s="142">
        <v>16.3</v>
      </c>
      <c r="G120" s="142">
        <v>13.196</v>
      </c>
      <c r="H120" s="142">
        <v>11.696</v>
      </c>
      <c r="I120" s="142">
        <v>12.196</v>
      </c>
      <c r="J120" s="7">
        <v>50</v>
      </c>
      <c r="K120" s="7">
        <v>6</v>
      </c>
      <c r="L120" s="10" t="s">
        <v>246</v>
      </c>
      <c r="M120" s="7" t="s">
        <v>16</v>
      </c>
      <c r="N120" s="10" t="s">
        <v>63</v>
      </c>
      <c r="O120" s="78">
        <v>50</v>
      </c>
      <c r="P120" s="72">
        <f t="shared" si="44"/>
        <v>6</v>
      </c>
      <c r="Q120" s="72">
        <f t="shared" si="45"/>
        <v>16.2</v>
      </c>
      <c r="R120" s="72">
        <f t="shared" si="46"/>
        <v>18.350000000000001</v>
      </c>
      <c r="S120" s="72">
        <f t="shared" si="47"/>
        <v>16.3</v>
      </c>
      <c r="T120" s="72">
        <f t="shared" si="48"/>
        <v>13.196</v>
      </c>
      <c r="U120" s="72">
        <f t="shared" si="49"/>
        <v>11.696</v>
      </c>
      <c r="V120" s="72">
        <f t="shared" si="50"/>
        <v>12.196</v>
      </c>
    </row>
    <row r="121" spans="1:22" s="7" customFormat="1" x14ac:dyDescent="0.2">
      <c r="A121" s="7" t="s">
        <v>18</v>
      </c>
      <c r="B121" s="7" t="s">
        <v>70</v>
      </c>
      <c r="C121" s="142">
        <v>7.2990000000000004</v>
      </c>
      <c r="D121" s="142">
        <v>10.555</v>
      </c>
      <c r="E121" s="142">
        <v>13.098000000000001</v>
      </c>
      <c r="F121" s="142">
        <v>15.502000000000001</v>
      </c>
      <c r="G121" s="142">
        <v>18.225999999999999</v>
      </c>
      <c r="H121" s="142">
        <v>18.376000000000001</v>
      </c>
      <c r="I121" s="142">
        <v>18.376000000000001</v>
      </c>
      <c r="J121" s="7">
        <v>100</v>
      </c>
      <c r="K121" s="7">
        <v>6</v>
      </c>
      <c r="L121" s="10" t="s">
        <v>246</v>
      </c>
      <c r="M121" s="7" t="s">
        <v>19</v>
      </c>
      <c r="N121" s="10" t="s">
        <v>63</v>
      </c>
      <c r="O121" s="78">
        <v>100</v>
      </c>
      <c r="P121" s="72">
        <f t="shared" si="44"/>
        <v>7.2990000000000004</v>
      </c>
      <c r="Q121" s="72">
        <f t="shared" si="45"/>
        <v>10.555</v>
      </c>
      <c r="R121" s="72">
        <f t="shared" si="46"/>
        <v>13.098000000000001</v>
      </c>
      <c r="S121" s="72">
        <f t="shared" si="47"/>
        <v>15.502000000000001</v>
      </c>
      <c r="T121" s="72">
        <f t="shared" si="48"/>
        <v>18.225999999999999</v>
      </c>
      <c r="U121" s="72">
        <f t="shared" si="49"/>
        <v>18.376000000000001</v>
      </c>
      <c r="V121" s="72">
        <f t="shared" si="50"/>
        <v>18.376000000000001</v>
      </c>
    </row>
    <row r="122" spans="1:22" s="7" customFormat="1" x14ac:dyDescent="0.2">
      <c r="A122" s="7" t="s">
        <v>20</v>
      </c>
      <c r="B122" s="7" t="s">
        <v>72</v>
      </c>
      <c r="C122" s="142">
        <v>0.24299999999999999</v>
      </c>
      <c r="D122" s="142">
        <v>0.25</v>
      </c>
      <c r="E122" s="142">
        <v>0.25</v>
      </c>
      <c r="F122" s="142">
        <v>0.25</v>
      </c>
      <c r="G122" s="142">
        <v>0.25</v>
      </c>
      <c r="H122" s="142">
        <v>0.25</v>
      </c>
      <c r="I122" s="142">
        <v>0.25</v>
      </c>
      <c r="J122" s="7">
        <v>100</v>
      </c>
      <c r="K122" s="7">
        <v>4</v>
      </c>
      <c r="L122" s="168" t="s">
        <v>534</v>
      </c>
      <c r="M122" s="7" t="s">
        <v>21</v>
      </c>
      <c r="N122" s="7" t="s">
        <v>62</v>
      </c>
      <c r="O122" s="7">
        <v>100</v>
      </c>
      <c r="P122" s="72">
        <f t="shared" si="44"/>
        <v>0.24299999999999999</v>
      </c>
      <c r="Q122" s="72">
        <f t="shared" si="45"/>
        <v>0.25</v>
      </c>
      <c r="R122" s="72">
        <f t="shared" si="46"/>
        <v>0.25</v>
      </c>
      <c r="S122" s="72">
        <f t="shared" si="47"/>
        <v>0.25</v>
      </c>
      <c r="T122" s="72">
        <f t="shared" si="48"/>
        <v>0.25</v>
      </c>
      <c r="U122" s="72">
        <f t="shared" si="49"/>
        <v>0.25</v>
      </c>
      <c r="V122" s="72">
        <f t="shared" si="50"/>
        <v>0.25</v>
      </c>
    </row>
    <row r="123" spans="1:22" s="7" customFormat="1" x14ac:dyDescent="0.2">
      <c r="A123" s="7" t="s">
        <v>20</v>
      </c>
      <c r="B123" s="7" t="s">
        <v>71</v>
      </c>
      <c r="C123" s="142">
        <v>17.015000000000001</v>
      </c>
      <c r="D123" s="142">
        <v>9.4909999999999997</v>
      </c>
      <c r="E123" s="142">
        <v>2.222</v>
      </c>
      <c r="F123" s="142">
        <v>2.4329999999999998</v>
      </c>
      <c r="G123" s="142">
        <v>0.48799999999999999</v>
      </c>
      <c r="H123" s="142">
        <v>0.48799999999999999</v>
      </c>
      <c r="I123" s="142">
        <v>0.48799999999999999</v>
      </c>
      <c r="J123" s="7">
        <v>100</v>
      </c>
      <c r="K123" s="7">
        <v>6</v>
      </c>
      <c r="L123" s="10" t="s">
        <v>246</v>
      </c>
      <c r="M123" s="7" t="s">
        <v>23</v>
      </c>
      <c r="N123" s="10" t="s">
        <v>63</v>
      </c>
      <c r="O123" s="7">
        <v>100</v>
      </c>
      <c r="P123" s="72">
        <f t="shared" si="44"/>
        <v>17.015000000000001</v>
      </c>
      <c r="Q123" s="72">
        <f t="shared" si="45"/>
        <v>9.4909999999999997</v>
      </c>
      <c r="R123" s="72">
        <f t="shared" si="46"/>
        <v>2.222</v>
      </c>
      <c r="S123" s="72">
        <f t="shared" si="47"/>
        <v>2.4329999999999998</v>
      </c>
      <c r="T123" s="72">
        <f t="shared" si="48"/>
        <v>0.48799999999999999</v>
      </c>
      <c r="U123" s="72">
        <f t="shared" si="49"/>
        <v>0.48799999999999999</v>
      </c>
      <c r="V123" s="72">
        <f t="shared" si="50"/>
        <v>0.48799999999999999</v>
      </c>
    </row>
    <row r="124" spans="1:22" s="7" customFormat="1" x14ac:dyDescent="0.2">
      <c r="A124" s="7" t="s">
        <v>20</v>
      </c>
      <c r="B124" s="7" t="s">
        <v>71</v>
      </c>
      <c r="C124" s="142">
        <v>0.90160000000000007</v>
      </c>
      <c r="D124" s="142">
        <v>1.2</v>
      </c>
      <c r="E124" s="142">
        <v>2.4</v>
      </c>
      <c r="F124" s="142">
        <v>1.2</v>
      </c>
      <c r="G124" s="142">
        <v>0</v>
      </c>
      <c r="H124" s="142">
        <v>0</v>
      </c>
      <c r="I124" s="142">
        <v>0</v>
      </c>
      <c r="J124" s="7">
        <v>80</v>
      </c>
      <c r="K124" s="7">
        <v>6</v>
      </c>
      <c r="L124" s="10" t="s">
        <v>246</v>
      </c>
      <c r="N124" s="10" t="s">
        <v>63</v>
      </c>
      <c r="O124" s="7">
        <v>80</v>
      </c>
      <c r="P124" s="72">
        <f t="shared" si="44"/>
        <v>0.90160000000000007</v>
      </c>
      <c r="Q124" s="72">
        <f t="shared" ref="Q124" si="51">+$O124/$J124*D124</f>
        <v>1.2</v>
      </c>
      <c r="R124" s="72">
        <f t="shared" ref="R124" si="52">+$O124/$J124*E124</f>
        <v>2.4</v>
      </c>
      <c r="S124" s="72">
        <f t="shared" ref="S124" si="53">+$O124/$J124*F124</f>
        <v>1.2</v>
      </c>
      <c r="T124" s="72">
        <f t="shared" ref="T124" si="54">+$O124/$J124*G124</f>
        <v>0</v>
      </c>
      <c r="U124" s="72">
        <f t="shared" ref="U124" si="55">+$O124/$J124*H124</f>
        <v>0</v>
      </c>
      <c r="V124" s="72">
        <f t="shared" ref="V124" si="56">+$O124/$J124*I124</f>
        <v>0</v>
      </c>
    </row>
    <row r="125" spans="1:22" s="7" customFormat="1" x14ac:dyDescent="0.2">
      <c r="A125" s="7" t="s">
        <v>20</v>
      </c>
      <c r="B125" s="7" t="s">
        <v>73</v>
      </c>
      <c r="C125" s="142">
        <v>0.11700000000000001</v>
      </c>
      <c r="D125" s="142">
        <v>0.188</v>
      </c>
      <c r="E125" s="142">
        <v>0.17899999999999999</v>
      </c>
      <c r="F125" s="142">
        <v>0.17</v>
      </c>
      <c r="G125" s="142">
        <v>0.161</v>
      </c>
      <c r="H125" s="142">
        <v>0.152</v>
      </c>
      <c r="I125" s="142">
        <v>0.152</v>
      </c>
      <c r="J125" s="7">
        <v>100</v>
      </c>
      <c r="K125" s="7">
        <v>11</v>
      </c>
      <c r="L125" s="168" t="s">
        <v>95</v>
      </c>
      <c r="M125" s="7" t="s">
        <v>10</v>
      </c>
      <c r="N125" s="10" t="s">
        <v>62</v>
      </c>
      <c r="O125" s="7">
        <v>100</v>
      </c>
      <c r="P125" s="72">
        <f t="shared" si="44"/>
        <v>0.11700000000000001</v>
      </c>
      <c r="Q125" s="72">
        <f t="shared" si="45"/>
        <v>0.188</v>
      </c>
      <c r="R125" s="72">
        <f t="shared" si="46"/>
        <v>0.17899999999999999</v>
      </c>
      <c r="S125" s="72">
        <f t="shared" si="47"/>
        <v>0.17</v>
      </c>
      <c r="T125" s="72">
        <f t="shared" si="48"/>
        <v>0.161</v>
      </c>
      <c r="U125" s="72">
        <f t="shared" si="49"/>
        <v>0.152</v>
      </c>
      <c r="V125" s="72">
        <f t="shared" si="50"/>
        <v>0.152</v>
      </c>
    </row>
    <row r="126" spans="1:22" s="7" customFormat="1" x14ac:dyDescent="0.2">
      <c r="A126" s="7" t="s">
        <v>20</v>
      </c>
      <c r="B126" s="7" t="s">
        <v>74</v>
      </c>
      <c r="C126" s="142">
        <v>8.2000000000000003E-2</v>
      </c>
      <c r="D126" s="142">
        <v>0</v>
      </c>
      <c r="E126" s="142">
        <v>0</v>
      </c>
      <c r="F126" s="142">
        <v>0</v>
      </c>
      <c r="G126" s="142">
        <v>0</v>
      </c>
      <c r="H126" s="142">
        <v>0</v>
      </c>
      <c r="I126" s="142">
        <v>0</v>
      </c>
      <c r="J126" s="7">
        <v>100</v>
      </c>
      <c r="K126" s="78" t="s">
        <v>22</v>
      </c>
      <c r="M126" s="7" t="s">
        <v>16</v>
      </c>
      <c r="N126" s="10" t="s">
        <v>63</v>
      </c>
      <c r="O126" s="7">
        <v>100</v>
      </c>
      <c r="P126" s="72">
        <f t="shared" si="44"/>
        <v>8.2000000000000003E-2</v>
      </c>
      <c r="Q126" s="72">
        <f t="shared" si="45"/>
        <v>0</v>
      </c>
      <c r="R126" s="72">
        <f t="shared" si="46"/>
        <v>0</v>
      </c>
      <c r="S126" s="72">
        <f t="shared" si="47"/>
        <v>0</v>
      </c>
      <c r="T126" s="72">
        <f t="shared" si="48"/>
        <v>0</v>
      </c>
      <c r="U126" s="72">
        <f t="shared" si="49"/>
        <v>0</v>
      </c>
      <c r="V126" s="72">
        <f t="shared" si="50"/>
        <v>0</v>
      </c>
    </row>
    <row r="127" spans="1:22" s="7" customFormat="1" x14ac:dyDescent="0.2">
      <c r="A127" s="7" t="s">
        <v>391</v>
      </c>
      <c r="B127" s="7" t="s">
        <v>532</v>
      </c>
      <c r="C127" s="142">
        <v>0.19750000000000001</v>
      </c>
      <c r="D127" s="142">
        <v>6.4344999999999999</v>
      </c>
      <c r="E127" s="142">
        <v>5.8070000000000004</v>
      </c>
      <c r="F127" s="142">
        <v>5.8070000000000004</v>
      </c>
      <c r="G127" s="142">
        <v>11.058</v>
      </c>
      <c r="H127" s="142">
        <v>8.0574999999999992</v>
      </c>
      <c r="I127" s="142">
        <v>8.0574999999999992</v>
      </c>
      <c r="J127" s="7">
        <v>50</v>
      </c>
      <c r="K127" s="78">
        <v>6</v>
      </c>
      <c r="L127" s="10" t="s">
        <v>246</v>
      </c>
      <c r="M127" s="7" t="s">
        <v>16</v>
      </c>
      <c r="N127" s="10" t="s">
        <v>63</v>
      </c>
      <c r="O127" s="7">
        <v>50</v>
      </c>
      <c r="P127" s="72">
        <f t="shared" si="44"/>
        <v>0.19750000000000001</v>
      </c>
      <c r="Q127" s="72">
        <f t="shared" si="45"/>
        <v>6.4344999999999999</v>
      </c>
      <c r="R127" s="72">
        <f t="shared" si="46"/>
        <v>5.8070000000000004</v>
      </c>
      <c r="S127" s="72">
        <f t="shared" si="47"/>
        <v>5.8070000000000004</v>
      </c>
      <c r="T127" s="72">
        <f t="shared" si="48"/>
        <v>11.058</v>
      </c>
      <c r="U127" s="72">
        <f t="shared" si="49"/>
        <v>8.0574999999999992</v>
      </c>
      <c r="V127" s="72">
        <f t="shared" si="50"/>
        <v>8.0574999999999992</v>
      </c>
    </row>
    <row r="128" spans="1:22" s="7" customFormat="1" x14ac:dyDescent="0.2">
      <c r="A128" s="7" t="s">
        <v>20</v>
      </c>
      <c r="B128" s="7" t="s">
        <v>75</v>
      </c>
      <c r="C128" s="142">
        <v>138.851</v>
      </c>
      <c r="D128" s="142">
        <v>121.747</v>
      </c>
      <c r="E128" s="142">
        <v>134.75</v>
      </c>
      <c r="F128" s="142">
        <v>129.131</v>
      </c>
      <c r="G128" s="142">
        <v>127.01900000000001</v>
      </c>
      <c r="H128" s="142">
        <v>127.01900000000001</v>
      </c>
      <c r="I128" s="142">
        <v>127.01900000000001</v>
      </c>
      <c r="J128" s="7">
        <v>100</v>
      </c>
      <c r="K128" s="7">
        <v>6</v>
      </c>
      <c r="L128" s="10" t="s">
        <v>246</v>
      </c>
      <c r="M128" s="7" t="s">
        <v>24</v>
      </c>
      <c r="N128" s="7" t="s">
        <v>62</v>
      </c>
      <c r="O128" s="7">
        <v>100</v>
      </c>
      <c r="P128" s="72">
        <f t="shared" si="44"/>
        <v>138.851</v>
      </c>
      <c r="Q128" s="72">
        <f t="shared" si="45"/>
        <v>121.747</v>
      </c>
      <c r="R128" s="72">
        <f t="shared" si="46"/>
        <v>134.75</v>
      </c>
      <c r="S128" s="72">
        <f t="shared" si="47"/>
        <v>129.131</v>
      </c>
      <c r="T128" s="72">
        <f t="shared" si="48"/>
        <v>127.01900000000001</v>
      </c>
      <c r="U128" s="72">
        <f t="shared" si="49"/>
        <v>127.01900000000001</v>
      </c>
      <c r="V128" s="72">
        <f t="shared" si="50"/>
        <v>127.01900000000001</v>
      </c>
    </row>
    <row r="129" spans="1:22" s="7" customFormat="1" x14ac:dyDescent="0.2">
      <c r="A129" s="7" t="s">
        <v>25</v>
      </c>
      <c r="B129" s="7" t="s">
        <v>76</v>
      </c>
      <c r="C129" s="142">
        <v>4.5389999999999997</v>
      </c>
      <c r="D129" s="142">
        <v>14.039</v>
      </c>
      <c r="E129" s="142">
        <v>23.678999999999998</v>
      </c>
      <c r="F129" s="142">
        <v>33.707000000000001</v>
      </c>
      <c r="G129" s="142">
        <v>39.723999999999997</v>
      </c>
      <c r="H129" s="142">
        <v>39.723999999999997</v>
      </c>
      <c r="I129" s="142">
        <v>39.723999999999997</v>
      </c>
      <c r="J129" s="7">
        <v>100</v>
      </c>
      <c r="K129" s="7">
        <v>6</v>
      </c>
      <c r="L129" s="10" t="s">
        <v>246</v>
      </c>
      <c r="M129" s="7" t="s">
        <v>19</v>
      </c>
      <c r="N129" s="10" t="s">
        <v>63</v>
      </c>
      <c r="O129" s="7">
        <v>100</v>
      </c>
      <c r="P129" s="72">
        <f t="shared" si="44"/>
        <v>4.5389999999999997</v>
      </c>
      <c r="Q129" s="72">
        <f t="shared" si="45"/>
        <v>14.039</v>
      </c>
      <c r="R129" s="72">
        <f t="shared" si="46"/>
        <v>23.678999999999998</v>
      </c>
      <c r="S129" s="72">
        <f t="shared" si="47"/>
        <v>33.707000000000001</v>
      </c>
      <c r="T129" s="72">
        <f t="shared" si="48"/>
        <v>39.723999999999997</v>
      </c>
      <c r="U129" s="72">
        <f t="shared" si="49"/>
        <v>39.723999999999997</v>
      </c>
      <c r="V129" s="72">
        <f t="shared" si="50"/>
        <v>39.723999999999997</v>
      </c>
    </row>
    <row r="130" spans="1:22" s="7" customFormat="1" x14ac:dyDescent="0.2">
      <c r="A130" s="7" t="s">
        <v>25</v>
      </c>
      <c r="B130" s="7" t="s">
        <v>77</v>
      </c>
      <c r="C130" s="142">
        <v>58.011000000000003</v>
      </c>
      <c r="D130" s="142">
        <v>51.345999999999997</v>
      </c>
      <c r="E130" s="142">
        <v>75.364000000000004</v>
      </c>
      <c r="F130" s="142">
        <v>94.195999999999998</v>
      </c>
      <c r="G130" s="142">
        <v>106.34</v>
      </c>
      <c r="H130" s="142">
        <v>113.598</v>
      </c>
      <c r="I130" s="142">
        <v>118.598</v>
      </c>
      <c r="J130" s="7">
        <v>100</v>
      </c>
      <c r="K130" s="78" t="s">
        <v>22</v>
      </c>
      <c r="M130" s="7" t="s">
        <v>19</v>
      </c>
      <c r="N130" s="10" t="s">
        <v>63</v>
      </c>
      <c r="O130" s="7">
        <v>100</v>
      </c>
      <c r="P130" s="72">
        <f t="shared" si="44"/>
        <v>58.011000000000003</v>
      </c>
      <c r="Q130" s="72">
        <f t="shared" si="45"/>
        <v>51.345999999999997</v>
      </c>
      <c r="R130" s="72">
        <f t="shared" si="46"/>
        <v>75.364000000000004</v>
      </c>
      <c r="S130" s="72">
        <f t="shared" si="47"/>
        <v>94.195999999999998</v>
      </c>
      <c r="T130" s="72">
        <f t="shared" si="48"/>
        <v>106.34</v>
      </c>
      <c r="U130" s="72">
        <f t="shared" si="49"/>
        <v>113.598</v>
      </c>
      <c r="V130" s="72">
        <f t="shared" si="50"/>
        <v>118.598</v>
      </c>
    </row>
    <row r="131" spans="1:22" s="7" customFormat="1" x14ac:dyDescent="0.2">
      <c r="A131" s="7" t="s">
        <v>26</v>
      </c>
      <c r="B131" s="7" t="s">
        <v>78</v>
      </c>
      <c r="C131" s="142">
        <v>4.0419999999999998</v>
      </c>
      <c r="D131" s="142">
        <v>4.3079999999999998</v>
      </c>
      <c r="E131" s="142">
        <v>3.2879999999999998</v>
      </c>
      <c r="F131" s="142">
        <v>3.222</v>
      </c>
      <c r="G131" s="142">
        <v>3.2029999999999998</v>
      </c>
      <c r="H131" s="142">
        <v>3.2029999999999998</v>
      </c>
      <c r="I131" s="142">
        <v>3.2029999999999998</v>
      </c>
      <c r="J131" s="7">
        <v>100</v>
      </c>
      <c r="K131" s="7">
        <v>4</v>
      </c>
      <c r="L131" s="168" t="s">
        <v>534</v>
      </c>
      <c r="M131" s="7" t="s">
        <v>10</v>
      </c>
      <c r="N131" s="7" t="s">
        <v>62</v>
      </c>
      <c r="O131" s="7">
        <v>100</v>
      </c>
      <c r="P131" s="72">
        <f t="shared" si="44"/>
        <v>4.0419999999999998</v>
      </c>
      <c r="Q131" s="72">
        <f t="shared" si="45"/>
        <v>4.3079999999999998</v>
      </c>
      <c r="R131" s="72">
        <f t="shared" si="46"/>
        <v>3.2879999999999998</v>
      </c>
      <c r="S131" s="72">
        <f t="shared" si="47"/>
        <v>3.222</v>
      </c>
      <c r="T131" s="72">
        <f t="shared" si="48"/>
        <v>3.2029999999999998</v>
      </c>
      <c r="U131" s="72">
        <f t="shared" si="49"/>
        <v>3.2029999999999998</v>
      </c>
      <c r="V131" s="72">
        <f t="shared" si="50"/>
        <v>3.2029999999999998</v>
      </c>
    </row>
    <row r="132" spans="1:22" s="7" customFormat="1" x14ac:dyDescent="0.2">
      <c r="A132" s="7" t="s">
        <v>26</v>
      </c>
      <c r="B132" s="7" t="s">
        <v>79</v>
      </c>
      <c r="C132" s="142">
        <v>11.707000000000001</v>
      </c>
      <c r="D132" s="142">
        <v>10.696</v>
      </c>
      <c r="E132" s="142">
        <v>9.1479999999999997</v>
      </c>
      <c r="F132" s="142">
        <v>8.9540000000000006</v>
      </c>
      <c r="G132" s="142">
        <v>8.9019999999999992</v>
      </c>
      <c r="H132" s="142">
        <v>8.9019999999999992</v>
      </c>
      <c r="I132" s="142">
        <v>8.9019999999999992</v>
      </c>
      <c r="J132" s="7">
        <v>100</v>
      </c>
      <c r="K132" s="7">
        <v>4</v>
      </c>
      <c r="L132" s="168" t="s">
        <v>534</v>
      </c>
      <c r="M132" s="7" t="s">
        <v>10</v>
      </c>
      <c r="N132" s="7" t="s">
        <v>62</v>
      </c>
      <c r="O132" s="7">
        <v>100</v>
      </c>
      <c r="P132" s="72">
        <f t="shared" si="44"/>
        <v>11.707000000000001</v>
      </c>
      <c r="Q132" s="72">
        <f t="shared" si="45"/>
        <v>10.696</v>
      </c>
      <c r="R132" s="72">
        <f t="shared" si="46"/>
        <v>9.1479999999999997</v>
      </c>
      <c r="S132" s="72">
        <f t="shared" si="47"/>
        <v>8.9540000000000006</v>
      </c>
      <c r="T132" s="72">
        <f t="shared" si="48"/>
        <v>8.9019999999999992</v>
      </c>
      <c r="U132" s="72">
        <f t="shared" si="49"/>
        <v>8.9019999999999992</v>
      </c>
      <c r="V132" s="72">
        <f t="shared" si="50"/>
        <v>8.9019999999999992</v>
      </c>
    </row>
    <row r="133" spans="1:22" s="7" customFormat="1" x14ac:dyDescent="0.2">
      <c r="A133" s="7" t="s">
        <v>26</v>
      </c>
      <c r="B133" s="7" t="s">
        <v>80</v>
      </c>
      <c r="C133" s="142">
        <v>27.279</v>
      </c>
      <c r="D133" s="142">
        <v>29.402999999999999</v>
      </c>
      <c r="E133" s="142">
        <v>19.908000000000001</v>
      </c>
      <c r="F133" s="142">
        <v>18.806999999999999</v>
      </c>
      <c r="G133" s="142">
        <v>17.975999999999999</v>
      </c>
      <c r="H133" s="142">
        <v>17.975999999999999</v>
      </c>
      <c r="I133" s="142">
        <v>17.975999999999999</v>
      </c>
      <c r="J133" s="7">
        <v>100</v>
      </c>
      <c r="K133" s="7">
        <v>3</v>
      </c>
      <c r="L133" s="7" t="s">
        <v>145</v>
      </c>
      <c r="M133" s="7" t="s">
        <v>10</v>
      </c>
      <c r="N133" s="10" t="s">
        <v>62</v>
      </c>
      <c r="O133" s="7">
        <v>100</v>
      </c>
      <c r="P133" s="72">
        <f t="shared" si="44"/>
        <v>27.279</v>
      </c>
      <c r="Q133" s="72">
        <f t="shared" si="45"/>
        <v>29.402999999999999</v>
      </c>
      <c r="R133" s="72">
        <f t="shared" si="46"/>
        <v>19.908000000000001</v>
      </c>
      <c r="S133" s="72">
        <f t="shared" si="47"/>
        <v>18.806999999999999</v>
      </c>
      <c r="T133" s="72">
        <f t="shared" si="48"/>
        <v>17.975999999999999</v>
      </c>
      <c r="U133" s="72">
        <f t="shared" si="49"/>
        <v>17.975999999999999</v>
      </c>
      <c r="V133" s="72">
        <f t="shared" si="50"/>
        <v>17.975999999999999</v>
      </c>
    </row>
    <row r="134" spans="1:22" s="7" customFormat="1" x14ac:dyDescent="0.2">
      <c r="A134" s="7" t="s">
        <v>27</v>
      </c>
      <c r="B134" s="7" t="s">
        <v>81</v>
      </c>
      <c r="C134" s="142">
        <v>24.51</v>
      </c>
      <c r="D134" s="142">
        <v>19.936</v>
      </c>
      <c r="E134" s="142">
        <v>25.824999999999999</v>
      </c>
      <c r="F134" s="142">
        <v>25.599</v>
      </c>
      <c r="G134" s="142">
        <v>26.02</v>
      </c>
      <c r="H134" s="142">
        <v>25.27</v>
      </c>
      <c r="I134" s="142">
        <v>25.27</v>
      </c>
      <c r="J134" s="7">
        <v>100</v>
      </c>
      <c r="K134" s="7">
        <v>6</v>
      </c>
      <c r="L134" s="10" t="s">
        <v>246</v>
      </c>
      <c r="M134" s="7" t="s">
        <v>28</v>
      </c>
      <c r="N134" s="10" t="s">
        <v>62</v>
      </c>
      <c r="O134" s="7">
        <v>100</v>
      </c>
      <c r="P134" s="72">
        <f t="shared" si="44"/>
        <v>24.51</v>
      </c>
      <c r="Q134" s="72">
        <f t="shared" si="45"/>
        <v>19.936</v>
      </c>
      <c r="R134" s="72">
        <f t="shared" si="46"/>
        <v>25.824999999999999</v>
      </c>
      <c r="S134" s="72">
        <f t="shared" si="47"/>
        <v>25.599</v>
      </c>
      <c r="T134" s="72">
        <f t="shared" si="48"/>
        <v>26.02</v>
      </c>
      <c r="U134" s="72">
        <f t="shared" si="49"/>
        <v>25.27</v>
      </c>
      <c r="V134" s="72">
        <f t="shared" si="50"/>
        <v>25.27</v>
      </c>
    </row>
    <row r="135" spans="1:22" s="7" customFormat="1" x14ac:dyDescent="0.2">
      <c r="A135" s="7" t="s">
        <v>27</v>
      </c>
      <c r="B135" s="7" t="s">
        <v>408</v>
      </c>
      <c r="C135" s="142">
        <v>0</v>
      </c>
      <c r="D135" s="142">
        <v>11.603999999999999</v>
      </c>
      <c r="E135" s="142">
        <v>1.19</v>
      </c>
      <c r="F135" s="142">
        <v>2.5999999999999999E-2</v>
      </c>
      <c r="G135" s="142">
        <v>1.0999999999999999E-2</v>
      </c>
      <c r="H135" s="142">
        <v>6.0999999999999999E-2</v>
      </c>
      <c r="I135" s="142">
        <v>0.56100000000000005</v>
      </c>
      <c r="J135" s="7">
        <v>100</v>
      </c>
      <c r="K135" s="7">
        <v>6.13</v>
      </c>
      <c r="M135" s="7" t="s">
        <v>29</v>
      </c>
      <c r="N135" s="10" t="s">
        <v>62</v>
      </c>
      <c r="O135" s="7">
        <v>100</v>
      </c>
      <c r="P135" s="72">
        <f t="shared" si="44"/>
        <v>0</v>
      </c>
      <c r="Q135" s="72">
        <f t="shared" si="45"/>
        <v>11.603999999999999</v>
      </c>
      <c r="R135" s="72">
        <f t="shared" si="46"/>
        <v>1.19</v>
      </c>
      <c r="S135" s="72">
        <f t="shared" si="47"/>
        <v>2.5999999999999999E-2</v>
      </c>
      <c r="T135" s="72">
        <f t="shared" si="48"/>
        <v>1.0999999999999999E-2</v>
      </c>
      <c r="U135" s="72">
        <f t="shared" si="49"/>
        <v>6.0999999999999999E-2</v>
      </c>
      <c r="V135" s="72">
        <f t="shared" si="50"/>
        <v>0.56100000000000005</v>
      </c>
    </row>
    <row r="136" spans="1:22" s="7" customFormat="1" x14ac:dyDescent="0.2">
      <c r="A136" s="7" t="s">
        <v>27</v>
      </c>
      <c r="B136" s="7" t="s">
        <v>82</v>
      </c>
      <c r="C136" s="142">
        <v>1.7478999999999998</v>
      </c>
      <c r="D136" s="142">
        <v>0</v>
      </c>
      <c r="E136" s="142">
        <v>0</v>
      </c>
      <c r="F136" s="142">
        <v>0</v>
      </c>
      <c r="G136" s="142">
        <v>0</v>
      </c>
      <c r="H136" s="142">
        <v>0</v>
      </c>
      <c r="I136" s="142">
        <v>0</v>
      </c>
      <c r="J136" s="7">
        <v>70</v>
      </c>
      <c r="K136" s="7">
        <v>6</v>
      </c>
      <c r="L136" s="10" t="s">
        <v>246</v>
      </c>
      <c r="M136" s="7" t="s">
        <v>397</v>
      </c>
      <c r="N136" s="10" t="s">
        <v>63</v>
      </c>
      <c r="O136" s="7">
        <v>100</v>
      </c>
      <c r="P136" s="72">
        <f t="shared" si="44"/>
        <v>2.4969999999999999</v>
      </c>
      <c r="Q136" s="72">
        <f t="shared" si="45"/>
        <v>0</v>
      </c>
      <c r="R136" s="72">
        <f t="shared" si="46"/>
        <v>0</v>
      </c>
      <c r="S136" s="72">
        <f t="shared" si="47"/>
        <v>0</v>
      </c>
      <c r="T136" s="72">
        <f t="shared" si="48"/>
        <v>0</v>
      </c>
      <c r="U136" s="72">
        <f t="shared" si="49"/>
        <v>0</v>
      </c>
      <c r="V136" s="72">
        <f t="shared" si="50"/>
        <v>0</v>
      </c>
    </row>
    <row r="137" spans="1:22" s="7" customFormat="1" x14ac:dyDescent="0.2">
      <c r="A137" s="7" t="s">
        <v>27</v>
      </c>
      <c r="B137" s="7" t="s">
        <v>398</v>
      </c>
      <c r="C137" s="142">
        <v>9.1750000000000007</v>
      </c>
      <c r="D137" s="142">
        <v>5.0339999999999998</v>
      </c>
      <c r="E137" s="142">
        <v>1.2090000000000001</v>
      </c>
      <c r="F137" s="142">
        <v>0</v>
      </c>
      <c r="G137" s="142">
        <v>0</v>
      </c>
      <c r="H137" s="142">
        <v>0</v>
      </c>
      <c r="I137" s="142">
        <v>0</v>
      </c>
      <c r="J137" s="7">
        <v>100</v>
      </c>
      <c r="K137" s="7">
        <v>6</v>
      </c>
      <c r="L137" s="10" t="s">
        <v>246</v>
      </c>
      <c r="M137" s="7" t="s">
        <v>10</v>
      </c>
      <c r="N137" s="10" t="s">
        <v>62</v>
      </c>
      <c r="O137" s="7">
        <v>100</v>
      </c>
      <c r="P137" s="72">
        <f t="shared" si="44"/>
        <v>9.1750000000000007</v>
      </c>
      <c r="Q137" s="72">
        <f t="shared" si="45"/>
        <v>5.0339999999999998</v>
      </c>
      <c r="R137" s="72">
        <f t="shared" si="46"/>
        <v>1.2090000000000001</v>
      </c>
      <c r="S137" s="72">
        <f t="shared" si="47"/>
        <v>0</v>
      </c>
      <c r="T137" s="72">
        <f t="shared" si="48"/>
        <v>0</v>
      </c>
      <c r="U137" s="72">
        <f t="shared" si="49"/>
        <v>0</v>
      </c>
      <c r="V137" s="72">
        <f t="shared" si="50"/>
        <v>0</v>
      </c>
    </row>
    <row r="138" spans="1:22" s="7" customFormat="1" x14ac:dyDescent="0.2">
      <c r="A138" s="7" t="s">
        <v>27</v>
      </c>
      <c r="B138" s="7" t="s">
        <v>395</v>
      </c>
      <c r="C138" s="142">
        <v>4.2089999999999996</v>
      </c>
      <c r="D138" s="142">
        <v>3.8050000000000002</v>
      </c>
      <c r="E138" s="142">
        <v>1.262</v>
      </c>
      <c r="F138" s="142">
        <v>0.91700000000000004</v>
      </c>
      <c r="G138" s="142">
        <v>0</v>
      </c>
      <c r="H138" s="142">
        <v>0</v>
      </c>
      <c r="I138" s="142">
        <v>0</v>
      </c>
      <c r="J138" s="7">
        <v>100</v>
      </c>
      <c r="K138" s="7">
        <v>4</v>
      </c>
      <c r="L138" s="168" t="s">
        <v>534</v>
      </c>
      <c r="M138" s="7" t="s">
        <v>10</v>
      </c>
      <c r="N138" s="10" t="s">
        <v>63</v>
      </c>
      <c r="O138" s="7">
        <v>100</v>
      </c>
      <c r="P138" s="72">
        <f t="shared" si="44"/>
        <v>4.2089999999999996</v>
      </c>
      <c r="Q138" s="72">
        <f t="shared" si="45"/>
        <v>3.8050000000000002</v>
      </c>
      <c r="R138" s="72">
        <f t="shared" si="46"/>
        <v>1.262</v>
      </c>
      <c r="S138" s="72">
        <f t="shared" si="47"/>
        <v>0.91700000000000004</v>
      </c>
      <c r="T138" s="72">
        <f t="shared" si="48"/>
        <v>0</v>
      </c>
      <c r="U138" s="72">
        <f t="shared" si="49"/>
        <v>0</v>
      </c>
      <c r="V138" s="72">
        <f t="shared" si="50"/>
        <v>0</v>
      </c>
    </row>
    <row r="139" spans="1:22" s="7" customFormat="1" x14ac:dyDescent="0.2">
      <c r="A139" s="7" t="s">
        <v>27</v>
      </c>
      <c r="B139" s="7" t="s">
        <v>83</v>
      </c>
      <c r="C139" s="142">
        <v>121.956</v>
      </c>
      <c r="D139" s="142">
        <v>71.718999999999994</v>
      </c>
      <c r="E139" s="142">
        <v>31.225999999999999</v>
      </c>
      <c r="F139" s="142">
        <v>14.819000000000001</v>
      </c>
      <c r="G139" s="142">
        <v>5.5030000000000001</v>
      </c>
      <c r="H139" s="142">
        <v>7.734</v>
      </c>
      <c r="I139" s="142">
        <v>6.0839999999999996</v>
      </c>
      <c r="J139" s="7">
        <v>100</v>
      </c>
      <c r="K139" s="7">
        <v>6</v>
      </c>
      <c r="L139" s="10" t="s">
        <v>246</v>
      </c>
      <c r="M139" s="7" t="s">
        <v>30</v>
      </c>
      <c r="N139" s="10" t="s">
        <v>63</v>
      </c>
      <c r="O139" s="7">
        <v>100</v>
      </c>
      <c r="P139" s="72">
        <f t="shared" si="44"/>
        <v>121.956</v>
      </c>
      <c r="Q139" s="72">
        <f t="shared" si="45"/>
        <v>71.718999999999994</v>
      </c>
      <c r="R139" s="72">
        <f t="shared" si="46"/>
        <v>31.225999999999999</v>
      </c>
      <c r="S139" s="72">
        <f t="shared" si="47"/>
        <v>14.819000000000001</v>
      </c>
      <c r="T139" s="72">
        <f t="shared" si="48"/>
        <v>5.5030000000000001</v>
      </c>
      <c r="U139" s="72">
        <f t="shared" si="49"/>
        <v>7.734</v>
      </c>
      <c r="V139" s="72">
        <f t="shared" si="50"/>
        <v>6.0839999999999996</v>
      </c>
    </row>
    <row r="140" spans="1:22" s="7" customFormat="1" x14ac:dyDescent="0.2">
      <c r="A140" s="7" t="s">
        <v>27</v>
      </c>
      <c r="B140" s="7" t="s">
        <v>396</v>
      </c>
      <c r="C140" s="142">
        <v>0.1014</v>
      </c>
      <c r="D140" s="142">
        <v>0.30019999999999997</v>
      </c>
      <c r="E140" s="142">
        <v>0.2</v>
      </c>
      <c r="F140" s="142">
        <v>0.05</v>
      </c>
      <c r="G140" s="142">
        <v>0</v>
      </c>
      <c r="H140" s="142">
        <v>0</v>
      </c>
      <c r="I140" s="142">
        <v>0</v>
      </c>
      <c r="J140" s="7">
        <v>20</v>
      </c>
      <c r="K140" s="7">
        <v>10</v>
      </c>
      <c r="L140" s="168" t="s">
        <v>108</v>
      </c>
      <c r="M140" s="7" t="s">
        <v>31</v>
      </c>
      <c r="N140" s="10" t="s">
        <v>63</v>
      </c>
      <c r="O140" s="78">
        <v>100</v>
      </c>
      <c r="P140" s="72">
        <f t="shared" si="44"/>
        <v>0.50700000000000001</v>
      </c>
      <c r="Q140" s="72">
        <f t="shared" si="45"/>
        <v>1.5009999999999999</v>
      </c>
      <c r="R140" s="72">
        <f t="shared" si="46"/>
        <v>1</v>
      </c>
      <c r="S140" s="72">
        <f t="shared" si="47"/>
        <v>0.25</v>
      </c>
      <c r="T140" s="72">
        <f t="shared" si="48"/>
        <v>0</v>
      </c>
      <c r="U140" s="72">
        <f t="shared" si="49"/>
        <v>0</v>
      </c>
      <c r="V140" s="72">
        <f t="shared" si="50"/>
        <v>0</v>
      </c>
    </row>
    <row r="141" spans="1:22" s="7" customFormat="1" x14ac:dyDescent="0.2">
      <c r="A141" s="7" t="s">
        <v>27</v>
      </c>
      <c r="B141" s="7" t="s">
        <v>465</v>
      </c>
      <c r="C141" s="142">
        <v>7.0250000000000004</v>
      </c>
      <c r="D141" s="142">
        <v>4.1769999999999996</v>
      </c>
      <c r="E141" s="142">
        <v>5.0979999999999999</v>
      </c>
      <c r="F141" s="142">
        <v>1.85</v>
      </c>
      <c r="G141" s="142">
        <v>1.9</v>
      </c>
      <c r="H141" s="142">
        <v>1.1499999999999999</v>
      </c>
      <c r="I141" s="142">
        <v>0.4</v>
      </c>
      <c r="J141" s="7">
        <v>100</v>
      </c>
      <c r="K141" s="78" t="s">
        <v>466</v>
      </c>
      <c r="L141" s="168"/>
      <c r="M141" s="7" t="s">
        <v>28</v>
      </c>
      <c r="N141" s="10" t="s">
        <v>63</v>
      </c>
      <c r="O141" s="78">
        <v>100</v>
      </c>
      <c r="P141" s="72">
        <f t="shared" si="44"/>
        <v>7.0250000000000004</v>
      </c>
      <c r="Q141" s="72">
        <f t="shared" ref="Q141" si="57">+$O141/$J141*D141</f>
        <v>4.1769999999999996</v>
      </c>
      <c r="R141" s="72">
        <f t="shared" ref="R141" si="58">+$O141/$J141*E141</f>
        <v>5.0979999999999999</v>
      </c>
      <c r="S141" s="72">
        <f t="shared" ref="S141" si="59">+$O141/$J141*F141</f>
        <v>1.85</v>
      </c>
      <c r="T141" s="72">
        <f t="shared" ref="T141" si="60">+$O141/$J141*G141</f>
        <v>1.9</v>
      </c>
      <c r="U141" s="72">
        <f t="shared" ref="U141" si="61">+$O141/$J141*H141</f>
        <v>1.1499999999999999</v>
      </c>
      <c r="V141" s="72">
        <f t="shared" ref="V141" si="62">+$O141/$J141*I141</f>
        <v>0.4</v>
      </c>
    </row>
    <row r="142" spans="1:22" s="7" customFormat="1" x14ac:dyDescent="0.2">
      <c r="A142" s="7" t="s">
        <v>392</v>
      </c>
      <c r="B142" s="7" t="s">
        <v>84</v>
      </c>
      <c r="C142" s="142">
        <v>90.153999999999996</v>
      </c>
      <c r="D142" s="142">
        <v>64.061000000000007</v>
      </c>
      <c r="E142" s="142">
        <v>76.775999999999996</v>
      </c>
      <c r="F142" s="142">
        <v>64.013000000000005</v>
      </c>
      <c r="G142" s="142">
        <v>52.935000000000002</v>
      </c>
      <c r="H142" s="142">
        <v>52.936</v>
      </c>
      <c r="I142" s="142">
        <v>53.081000000000003</v>
      </c>
      <c r="J142" s="7">
        <v>100</v>
      </c>
      <c r="K142" s="7">
        <v>3</v>
      </c>
      <c r="L142" s="7" t="s">
        <v>145</v>
      </c>
      <c r="M142" s="7" t="s">
        <v>15</v>
      </c>
      <c r="N142" s="10" t="s">
        <v>63</v>
      </c>
      <c r="O142" s="78">
        <v>50</v>
      </c>
      <c r="P142" s="72">
        <f t="shared" si="44"/>
        <v>45.076999999999998</v>
      </c>
      <c r="Q142" s="72">
        <f t="shared" si="45"/>
        <v>32.030500000000004</v>
      </c>
      <c r="R142" s="72">
        <f t="shared" si="46"/>
        <v>38.387999999999998</v>
      </c>
      <c r="S142" s="72">
        <f t="shared" si="47"/>
        <v>32.006500000000003</v>
      </c>
      <c r="T142" s="72">
        <f t="shared" si="48"/>
        <v>26.467500000000001</v>
      </c>
      <c r="U142" s="72">
        <f t="shared" si="49"/>
        <v>26.468</v>
      </c>
      <c r="V142" s="72">
        <f t="shared" si="50"/>
        <v>26.540500000000002</v>
      </c>
    </row>
    <row r="143" spans="1:22" s="23" customFormat="1" ht="15" x14ac:dyDescent="0.25">
      <c r="A143" s="92" t="s">
        <v>348</v>
      </c>
      <c r="B143" s="92" t="s">
        <v>349</v>
      </c>
      <c r="C143" s="143"/>
      <c r="D143" s="143"/>
      <c r="E143" s="143"/>
      <c r="F143" s="143"/>
      <c r="G143" s="143"/>
      <c r="H143" s="143"/>
      <c r="I143" s="143"/>
      <c r="L143" s="128"/>
      <c r="N143" s="128"/>
      <c r="O143" s="79"/>
      <c r="P143" s="73">
        <f>+SUM(P144:P147)</f>
        <v>9.4700999999999986</v>
      </c>
      <c r="Q143" s="73">
        <f t="shared" ref="Q143:V143" si="63">+SUM(Q144:Q147)</f>
        <v>3.7111000000000001</v>
      </c>
      <c r="R143" s="73">
        <f t="shared" si="63"/>
        <v>6.9333</v>
      </c>
      <c r="S143" s="73">
        <f t="shared" si="63"/>
        <v>6.0309999999999997</v>
      </c>
      <c r="T143" s="73">
        <f t="shared" si="63"/>
        <v>5.0703999999999994</v>
      </c>
      <c r="U143" s="73">
        <f t="shared" si="63"/>
        <v>4.8203999999999994</v>
      </c>
      <c r="V143" s="73">
        <f t="shared" si="63"/>
        <v>4.8203999999999994</v>
      </c>
    </row>
    <row r="144" spans="1:22" s="7" customFormat="1" x14ac:dyDescent="0.2">
      <c r="A144" s="7" t="s">
        <v>32</v>
      </c>
      <c r="B144" s="7" t="s">
        <v>85</v>
      </c>
      <c r="C144" s="142">
        <v>1.9350000000000001</v>
      </c>
      <c r="D144" s="142">
        <v>0.25</v>
      </c>
      <c r="E144" s="142">
        <v>1.5</v>
      </c>
      <c r="F144" s="142">
        <v>1</v>
      </c>
      <c r="G144" s="142">
        <v>0.25</v>
      </c>
      <c r="H144" s="142">
        <v>0</v>
      </c>
      <c r="I144" s="142">
        <v>0</v>
      </c>
      <c r="J144" s="7">
        <v>100</v>
      </c>
      <c r="K144" s="7">
        <v>1.6</v>
      </c>
      <c r="M144" s="7" t="s">
        <v>33</v>
      </c>
      <c r="N144" s="10" t="s">
        <v>63</v>
      </c>
      <c r="O144" s="78">
        <v>100</v>
      </c>
      <c r="P144" s="72">
        <f t="shared" ref="P144:T147" si="64">+$O144/$J144*C144</f>
        <v>1.9350000000000001</v>
      </c>
      <c r="Q144" s="72">
        <f t="shared" si="64"/>
        <v>0.25</v>
      </c>
      <c r="R144" s="72">
        <f t="shared" si="64"/>
        <v>1.5</v>
      </c>
      <c r="S144" s="72">
        <f t="shared" si="64"/>
        <v>1</v>
      </c>
      <c r="T144" s="72">
        <f t="shared" si="64"/>
        <v>0.25</v>
      </c>
      <c r="U144" s="72">
        <f t="shared" ref="U144:U147" si="65">+$O144/$J144*H144</f>
        <v>0</v>
      </c>
      <c r="V144" s="72">
        <f t="shared" ref="V144:V147" si="66">+$O144/$J144*I144</f>
        <v>0</v>
      </c>
    </row>
    <row r="145" spans="1:22" s="7" customFormat="1" x14ac:dyDescent="0.2">
      <c r="A145" s="7" t="s">
        <v>32</v>
      </c>
      <c r="B145" s="7" t="s">
        <v>85</v>
      </c>
      <c r="C145" s="142">
        <v>6.5000000000000002E-2</v>
      </c>
      <c r="D145" s="142">
        <v>0</v>
      </c>
      <c r="E145" s="142">
        <v>0</v>
      </c>
      <c r="F145" s="142">
        <v>0</v>
      </c>
      <c r="G145" s="142">
        <v>0</v>
      </c>
      <c r="H145" s="142">
        <v>0</v>
      </c>
      <c r="I145" s="142">
        <v>0</v>
      </c>
      <c r="J145" s="7">
        <v>50</v>
      </c>
      <c r="K145" s="7">
        <v>1.6</v>
      </c>
      <c r="M145" s="7" t="s">
        <v>34</v>
      </c>
      <c r="N145" s="10" t="s">
        <v>63</v>
      </c>
      <c r="O145" s="78">
        <v>50</v>
      </c>
      <c r="P145" s="72">
        <f t="shared" si="64"/>
        <v>6.5000000000000002E-2</v>
      </c>
      <c r="Q145" s="72">
        <f t="shared" si="64"/>
        <v>0</v>
      </c>
      <c r="R145" s="72">
        <f t="shared" si="64"/>
        <v>0</v>
      </c>
      <c r="S145" s="72">
        <f t="shared" si="64"/>
        <v>0</v>
      </c>
      <c r="T145" s="72">
        <f t="shared" si="64"/>
        <v>0</v>
      </c>
      <c r="U145" s="72">
        <f t="shared" si="65"/>
        <v>0</v>
      </c>
      <c r="V145" s="72">
        <f t="shared" si="66"/>
        <v>0</v>
      </c>
    </row>
    <row r="146" spans="1:22" s="7" customFormat="1" x14ac:dyDescent="0.2">
      <c r="A146" s="7" t="s">
        <v>468</v>
      </c>
      <c r="B146" s="7" t="s">
        <v>467</v>
      </c>
      <c r="C146" s="142">
        <v>5.2492999999999999</v>
      </c>
      <c r="D146" s="142">
        <v>0</v>
      </c>
      <c r="E146" s="142">
        <v>0</v>
      </c>
      <c r="F146" s="142">
        <v>0</v>
      </c>
      <c r="G146" s="142">
        <v>0</v>
      </c>
      <c r="H146" s="142">
        <v>0</v>
      </c>
      <c r="I146" s="142">
        <v>0</v>
      </c>
      <c r="J146" s="7">
        <v>70</v>
      </c>
      <c r="K146" s="7">
        <v>4</v>
      </c>
      <c r="L146" s="168" t="s">
        <v>534</v>
      </c>
      <c r="M146" s="7" t="s">
        <v>6</v>
      </c>
      <c r="N146" s="10" t="s">
        <v>63</v>
      </c>
      <c r="O146" s="78">
        <v>50</v>
      </c>
      <c r="P146" s="72">
        <f t="shared" si="64"/>
        <v>3.7494999999999998</v>
      </c>
      <c r="Q146" s="72">
        <f t="shared" si="64"/>
        <v>0</v>
      </c>
      <c r="R146" s="72">
        <f t="shared" si="64"/>
        <v>0</v>
      </c>
      <c r="S146" s="72">
        <f t="shared" si="64"/>
        <v>0</v>
      </c>
      <c r="T146" s="72">
        <f t="shared" si="64"/>
        <v>0</v>
      </c>
      <c r="U146" s="72">
        <f t="shared" si="65"/>
        <v>0</v>
      </c>
      <c r="V146" s="72">
        <f t="shared" si="66"/>
        <v>0</v>
      </c>
    </row>
    <row r="147" spans="1:22" s="7" customFormat="1" x14ac:dyDescent="0.2">
      <c r="A147" s="7" t="s">
        <v>468</v>
      </c>
      <c r="B147" s="7" t="s">
        <v>467</v>
      </c>
      <c r="C147" s="142">
        <v>3.7206000000000001</v>
      </c>
      <c r="D147" s="142">
        <v>3.4611000000000001</v>
      </c>
      <c r="E147" s="142">
        <v>5.4333</v>
      </c>
      <c r="F147" s="142">
        <v>5.0309999999999997</v>
      </c>
      <c r="G147" s="142">
        <v>4.8203999999999994</v>
      </c>
      <c r="H147" s="142">
        <v>4.8203999999999994</v>
      </c>
      <c r="I147" s="142">
        <v>4.8203999999999994</v>
      </c>
      <c r="J147" s="7">
        <v>30</v>
      </c>
      <c r="K147" s="7">
        <v>4</v>
      </c>
      <c r="L147" s="168" t="s">
        <v>534</v>
      </c>
      <c r="M147" s="7" t="s">
        <v>35</v>
      </c>
      <c r="N147" s="10" t="s">
        <v>63</v>
      </c>
      <c r="O147" s="78">
        <v>30</v>
      </c>
      <c r="P147" s="72">
        <f t="shared" si="64"/>
        <v>3.7206000000000001</v>
      </c>
      <c r="Q147" s="72">
        <f t="shared" si="64"/>
        <v>3.4611000000000001</v>
      </c>
      <c r="R147" s="72">
        <f t="shared" si="64"/>
        <v>5.4333</v>
      </c>
      <c r="S147" s="72">
        <f t="shared" si="64"/>
        <v>5.0309999999999997</v>
      </c>
      <c r="T147" s="72">
        <f t="shared" si="64"/>
        <v>4.8203999999999994</v>
      </c>
      <c r="U147" s="72">
        <f t="shared" si="65"/>
        <v>4.8203999999999994</v>
      </c>
      <c r="V147" s="72">
        <f t="shared" si="66"/>
        <v>4.8203999999999994</v>
      </c>
    </row>
    <row r="148" spans="1:22" s="92" customFormat="1" ht="15" x14ac:dyDescent="0.25">
      <c r="A148" s="92" t="s">
        <v>469</v>
      </c>
      <c r="B148" s="176" t="s">
        <v>36</v>
      </c>
      <c r="C148" s="178"/>
      <c r="D148" s="178"/>
      <c r="E148" s="178"/>
      <c r="F148" s="178"/>
      <c r="G148" s="178"/>
      <c r="H148" s="178"/>
      <c r="I148" s="178"/>
      <c r="L148" s="23"/>
      <c r="O148" s="179"/>
      <c r="P148" s="73">
        <f>+SUM(P149:P159)</f>
        <v>55.59375</v>
      </c>
      <c r="Q148" s="73">
        <f t="shared" ref="Q148:V148" si="67">+SUM(Q149:Q159)</f>
        <v>81.152000000000001</v>
      </c>
      <c r="R148" s="73">
        <f t="shared" si="67"/>
        <v>77.102750000000015</v>
      </c>
      <c r="S148" s="73">
        <f t="shared" si="67"/>
        <v>73.82950000000001</v>
      </c>
      <c r="T148" s="73">
        <f t="shared" si="67"/>
        <v>69.183500000000009</v>
      </c>
      <c r="U148" s="73">
        <f t="shared" si="67"/>
        <v>67.533500000000004</v>
      </c>
      <c r="V148" s="73">
        <f t="shared" si="67"/>
        <v>66.283500000000004</v>
      </c>
    </row>
    <row r="149" spans="1:22" s="7" customFormat="1" x14ac:dyDescent="0.2">
      <c r="A149" s="169">
        <v>14</v>
      </c>
      <c r="B149" s="7" t="s">
        <v>37</v>
      </c>
      <c r="C149" s="142">
        <v>8.7317499999999999</v>
      </c>
      <c r="D149" s="142">
        <v>16.965499999999999</v>
      </c>
      <c r="E149" s="142">
        <v>13.96</v>
      </c>
      <c r="F149" s="142">
        <v>13.422000000000001</v>
      </c>
      <c r="G149" s="142">
        <v>11.022500000000001</v>
      </c>
      <c r="H149" s="142">
        <v>10.3725</v>
      </c>
      <c r="I149" s="142">
        <v>9.1225000000000005</v>
      </c>
      <c r="J149" s="7">
        <v>25</v>
      </c>
      <c r="K149" s="7">
        <v>5</v>
      </c>
      <c r="L149" s="7" t="s">
        <v>245</v>
      </c>
      <c r="M149" s="7" t="s">
        <v>22</v>
      </c>
      <c r="N149" s="10" t="s">
        <v>63</v>
      </c>
      <c r="O149" s="78">
        <v>25</v>
      </c>
      <c r="P149" s="72">
        <f t="shared" ref="P149:P159" si="68">+$O149/$J149*C149</f>
        <v>8.7317499999999999</v>
      </c>
      <c r="Q149" s="72">
        <f t="shared" ref="Q149:Q159" si="69">+$O149/$J149*D149</f>
        <v>16.965499999999999</v>
      </c>
      <c r="R149" s="72">
        <f t="shared" ref="R149:R159" si="70">+$O149/$J149*E149</f>
        <v>13.96</v>
      </c>
      <c r="S149" s="72">
        <f t="shared" ref="S149:S159" si="71">+$O149/$J149*F149</f>
        <v>13.422000000000001</v>
      </c>
      <c r="T149" s="72">
        <f t="shared" ref="T149:T159" si="72">+$O149/$J149*G149</f>
        <v>11.022500000000001</v>
      </c>
      <c r="U149" s="72">
        <f t="shared" ref="U149:U159" si="73">+$O149/$J149*H149</f>
        <v>10.3725</v>
      </c>
      <c r="V149" s="72">
        <f t="shared" ref="V149:V159" si="74">+$O149/$J149*I149</f>
        <v>9.1225000000000005</v>
      </c>
    </row>
    <row r="150" spans="1:22" s="7" customFormat="1" x14ac:dyDescent="0.2">
      <c r="A150" s="169">
        <v>15</v>
      </c>
      <c r="B150" s="7" t="s">
        <v>38</v>
      </c>
      <c r="C150" s="142">
        <v>0.13425000000000001</v>
      </c>
      <c r="D150" s="142">
        <v>-7.7499999999999999E-2</v>
      </c>
      <c r="E150" s="142">
        <v>0</v>
      </c>
      <c r="F150" s="142">
        <v>0</v>
      </c>
      <c r="G150" s="142">
        <v>0</v>
      </c>
      <c r="H150" s="142">
        <v>0</v>
      </c>
      <c r="I150" s="142">
        <v>0</v>
      </c>
      <c r="J150" s="7">
        <v>25</v>
      </c>
      <c r="K150" s="7">
        <v>5</v>
      </c>
      <c r="L150" s="7" t="s">
        <v>245</v>
      </c>
      <c r="M150" s="7" t="s">
        <v>16</v>
      </c>
      <c r="N150" s="10" t="s">
        <v>63</v>
      </c>
      <c r="O150" s="78">
        <v>25</v>
      </c>
      <c r="P150" s="72">
        <f t="shared" si="68"/>
        <v>0.13425000000000001</v>
      </c>
      <c r="Q150" s="72">
        <f t="shared" si="69"/>
        <v>-7.7499999999999999E-2</v>
      </c>
      <c r="R150" s="72">
        <f t="shared" si="70"/>
        <v>0</v>
      </c>
      <c r="S150" s="72">
        <f t="shared" si="71"/>
        <v>0</v>
      </c>
      <c r="T150" s="72">
        <f t="shared" si="72"/>
        <v>0</v>
      </c>
      <c r="U150" s="72">
        <f t="shared" si="73"/>
        <v>0</v>
      </c>
      <c r="V150" s="72">
        <f t="shared" si="74"/>
        <v>0</v>
      </c>
    </row>
    <row r="151" spans="1:22" s="7" customFormat="1" x14ac:dyDescent="0.2">
      <c r="A151" s="169">
        <v>15</v>
      </c>
      <c r="B151" s="7" t="s">
        <v>39</v>
      </c>
      <c r="C151" s="142">
        <v>3.8679999999999999</v>
      </c>
      <c r="D151" s="142">
        <v>2.048</v>
      </c>
      <c r="E151" s="142">
        <v>0.59424999999999994</v>
      </c>
      <c r="F151" s="142">
        <v>0.59199999999999997</v>
      </c>
      <c r="G151" s="142">
        <v>0.59199999999999997</v>
      </c>
      <c r="H151" s="142">
        <v>0.59199999999999997</v>
      </c>
      <c r="I151" s="142">
        <v>0.59199999999999997</v>
      </c>
      <c r="J151" s="7">
        <v>25</v>
      </c>
      <c r="K151" s="7">
        <v>5</v>
      </c>
      <c r="L151" s="7" t="s">
        <v>245</v>
      </c>
      <c r="M151" s="7" t="s">
        <v>40</v>
      </c>
      <c r="N151" s="10" t="s">
        <v>63</v>
      </c>
      <c r="O151" s="78">
        <v>25</v>
      </c>
      <c r="P151" s="72">
        <f t="shared" si="68"/>
        <v>3.8679999999999999</v>
      </c>
      <c r="Q151" s="72">
        <f t="shared" si="69"/>
        <v>2.048</v>
      </c>
      <c r="R151" s="72">
        <f t="shared" si="70"/>
        <v>0.59424999999999994</v>
      </c>
      <c r="S151" s="72">
        <f t="shared" si="71"/>
        <v>0.59199999999999997</v>
      </c>
      <c r="T151" s="72">
        <f t="shared" si="72"/>
        <v>0.59199999999999997</v>
      </c>
      <c r="U151" s="72">
        <f t="shared" si="73"/>
        <v>0.59199999999999997</v>
      </c>
      <c r="V151" s="72">
        <f t="shared" si="74"/>
        <v>0.59199999999999997</v>
      </c>
    </row>
    <row r="152" spans="1:22" s="7" customFormat="1" x14ac:dyDescent="0.2">
      <c r="A152" s="169">
        <v>14</v>
      </c>
      <c r="B152" s="7" t="s">
        <v>41</v>
      </c>
      <c r="C152" s="142">
        <v>0</v>
      </c>
      <c r="D152" s="142">
        <v>16.145</v>
      </c>
      <c r="E152" s="142">
        <v>8.0399999999999991</v>
      </c>
      <c r="F152" s="142">
        <v>6.3620000000000001</v>
      </c>
      <c r="G152" s="142">
        <v>8.08</v>
      </c>
      <c r="H152" s="142">
        <v>8.08</v>
      </c>
      <c r="I152" s="142">
        <v>8.08</v>
      </c>
      <c r="J152" s="7">
        <v>100</v>
      </c>
      <c r="K152" s="7">
        <v>5</v>
      </c>
      <c r="L152" s="7" t="s">
        <v>245</v>
      </c>
      <c r="M152" s="7" t="s">
        <v>16</v>
      </c>
      <c r="N152" s="10" t="s">
        <v>63</v>
      </c>
      <c r="O152" s="78">
        <v>50</v>
      </c>
      <c r="P152" s="72">
        <f t="shared" si="68"/>
        <v>0</v>
      </c>
      <c r="Q152" s="72">
        <f t="shared" si="69"/>
        <v>8.0724999999999998</v>
      </c>
      <c r="R152" s="72">
        <f t="shared" si="70"/>
        <v>4.0199999999999996</v>
      </c>
      <c r="S152" s="72">
        <f t="shared" si="71"/>
        <v>3.181</v>
      </c>
      <c r="T152" s="72">
        <f t="shared" si="72"/>
        <v>4.04</v>
      </c>
      <c r="U152" s="72">
        <f t="shared" si="73"/>
        <v>4.04</v>
      </c>
      <c r="V152" s="72">
        <f t="shared" si="74"/>
        <v>4.04</v>
      </c>
    </row>
    <row r="153" spans="1:22" s="7" customFormat="1" x14ac:dyDescent="0.2">
      <c r="A153" s="169">
        <v>14</v>
      </c>
      <c r="B153" s="7" t="s">
        <v>425</v>
      </c>
      <c r="C153" s="142">
        <v>7.25</v>
      </c>
      <c r="D153" s="142">
        <v>7.25</v>
      </c>
      <c r="E153" s="142">
        <v>8.1110000000000007</v>
      </c>
      <c r="F153" s="142">
        <v>8.1110000000000007</v>
      </c>
      <c r="G153" s="142">
        <v>8.1110000000000007</v>
      </c>
      <c r="H153" s="142">
        <v>8.1110000000000007</v>
      </c>
      <c r="I153" s="142">
        <v>8.1110000000000007</v>
      </c>
      <c r="J153" s="7">
        <v>100</v>
      </c>
      <c r="K153" s="7">
        <v>5</v>
      </c>
      <c r="L153" s="7" t="s">
        <v>245</v>
      </c>
      <c r="M153" s="7" t="s">
        <v>42</v>
      </c>
      <c r="N153" s="7" t="s">
        <v>62</v>
      </c>
      <c r="O153" s="78">
        <v>25</v>
      </c>
      <c r="P153" s="72">
        <f t="shared" si="68"/>
        <v>1.8125</v>
      </c>
      <c r="Q153" s="72">
        <f t="shared" si="69"/>
        <v>1.8125</v>
      </c>
      <c r="R153" s="72">
        <f t="shared" si="70"/>
        <v>2.0277500000000002</v>
      </c>
      <c r="S153" s="72">
        <f t="shared" si="71"/>
        <v>2.0277500000000002</v>
      </c>
      <c r="T153" s="72">
        <f t="shared" si="72"/>
        <v>2.0277500000000002</v>
      </c>
      <c r="U153" s="72">
        <f t="shared" si="73"/>
        <v>2.0277500000000002</v>
      </c>
      <c r="V153" s="72">
        <f t="shared" si="74"/>
        <v>2.0277500000000002</v>
      </c>
    </row>
    <row r="154" spans="1:22" s="7" customFormat="1" x14ac:dyDescent="0.2">
      <c r="A154" s="169">
        <v>14</v>
      </c>
      <c r="B154" s="7" t="s">
        <v>470</v>
      </c>
      <c r="C154" s="142">
        <v>0</v>
      </c>
      <c r="D154" s="142">
        <v>17</v>
      </c>
      <c r="E154" s="142">
        <v>22</v>
      </c>
      <c r="F154" s="142">
        <v>24.5</v>
      </c>
      <c r="G154" s="142">
        <v>24.5</v>
      </c>
      <c r="H154" s="142">
        <v>24.5</v>
      </c>
      <c r="I154" s="142">
        <v>24.5</v>
      </c>
      <c r="J154" s="7">
        <v>50</v>
      </c>
      <c r="K154" s="7">
        <v>5</v>
      </c>
      <c r="L154" s="7" t="s">
        <v>245</v>
      </c>
      <c r="M154" s="7" t="s">
        <v>63</v>
      </c>
      <c r="N154" s="7" t="s">
        <v>63</v>
      </c>
      <c r="O154" s="78">
        <v>50</v>
      </c>
      <c r="P154" s="72">
        <f t="shared" si="68"/>
        <v>0</v>
      </c>
      <c r="Q154" s="72">
        <f t="shared" ref="Q154" si="75">+$O154/$J154*D154</f>
        <v>17</v>
      </c>
      <c r="R154" s="72">
        <f t="shared" ref="R154" si="76">+$O154/$J154*E154</f>
        <v>22</v>
      </c>
      <c r="S154" s="72">
        <f t="shared" ref="S154" si="77">+$O154/$J154*F154</f>
        <v>24.5</v>
      </c>
      <c r="T154" s="72">
        <f t="shared" ref="T154" si="78">+$O154/$J154*G154</f>
        <v>24.5</v>
      </c>
      <c r="U154" s="72">
        <f t="shared" ref="U154" si="79">+$O154/$J154*H154</f>
        <v>24.5</v>
      </c>
      <c r="V154" s="72">
        <f t="shared" ref="V154" si="80">+$O154/$J154*I154</f>
        <v>24.5</v>
      </c>
    </row>
    <row r="155" spans="1:22" s="7" customFormat="1" x14ac:dyDescent="0.2">
      <c r="A155" s="169">
        <v>14</v>
      </c>
      <c r="B155" s="7" t="s">
        <v>43</v>
      </c>
      <c r="C155" s="142">
        <v>3.516</v>
      </c>
      <c r="D155" s="142">
        <v>5.8010000000000002</v>
      </c>
      <c r="E155" s="142">
        <v>10.667999999999999</v>
      </c>
      <c r="F155" s="142">
        <v>10.667999999999999</v>
      </c>
      <c r="G155" s="142">
        <v>8.6679999999999993</v>
      </c>
      <c r="H155" s="142">
        <v>6.6680000000000001</v>
      </c>
      <c r="I155" s="142">
        <v>6.6680000000000001</v>
      </c>
      <c r="J155" s="7">
        <v>100</v>
      </c>
      <c r="K155" s="7">
        <v>5</v>
      </c>
      <c r="L155" s="7" t="s">
        <v>245</v>
      </c>
      <c r="M155" s="7" t="s">
        <v>24</v>
      </c>
      <c r="N155" s="7" t="s">
        <v>62</v>
      </c>
      <c r="O155" s="78">
        <v>50</v>
      </c>
      <c r="P155" s="72">
        <f t="shared" si="68"/>
        <v>1.758</v>
      </c>
      <c r="Q155" s="72">
        <f t="shared" si="69"/>
        <v>2.9005000000000001</v>
      </c>
      <c r="R155" s="72">
        <f t="shared" si="70"/>
        <v>5.3339999999999996</v>
      </c>
      <c r="S155" s="72">
        <f t="shared" si="71"/>
        <v>5.3339999999999996</v>
      </c>
      <c r="T155" s="72">
        <f t="shared" si="72"/>
        <v>4.3339999999999996</v>
      </c>
      <c r="U155" s="72">
        <f t="shared" si="73"/>
        <v>3.3340000000000001</v>
      </c>
      <c r="V155" s="72">
        <f t="shared" si="74"/>
        <v>3.3340000000000001</v>
      </c>
    </row>
    <row r="156" spans="1:22" s="7" customFormat="1" x14ac:dyDescent="0.2">
      <c r="A156" s="169">
        <v>14</v>
      </c>
      <c r="B156" s="7" t="s">
        <v>44</v>
      </c>
      <c r="C156" s="142">
        <v>0.72</v>
      </c>
      <c r="D156" s="142">
        <v>0</v>
      </c>
      <c r="E156" s="142">
        <v>0</v>
      </c>
      <c r="F156" s="142">
        <v>0</v>
      </c>
      <c r="G156" s="142">
        <v>0</v>
      </c>
      <c r="H156" s="142">
        <v>0</v>
      </c>
      <c r="I156" s="142">
        <v>0</v>
      </c>
      <c r="J156" s="7">
        <v>20</v>
      </c>
      <c r="K156" s="7">
        <v>5</v>
      </c>
      <c r="L156" s="7" t="s">
        <v>245</v>
      </c>
      <c r="M156" s="7" t="s">
        <v>30</v>
      </c>
      <c r="N156" s="10" t="s">
        <v>63</v>
      </c>
      <c r="O156" s="78">
        <v>20</v>
      </c>
      <c r="P156" s="72">
        <f t="shared" si="68"/>
        <v>0.72</v>
      </c>
      <c r="Q156" s="72">
        <f t="shared" si="69"/>
        <v>0</v>
      </c>
      <c r="R156" s="72">
        <f t="shared" si="70"/>
        <v>0</v>
      </c>
      <c r="S156" s="72">
        <f t="shared" si="71"/>
        <v>0</v>
      </c>
      <c r="T156" s="72">
        <f t="shared" si="72"/>
        <v>0</v>
      </c>
      <c r="U156" s="72">
        <f t="shared" si="73"/>
        <v>0</v>
      </c>
      <c r="V156" s="72">
        <f t="shared" si="74"/>
        <v>0</v>
      </c>
    </row>
    <row r="157" spans="1:22" s="7" customFormat="1" x14ac:dyDescent="0.2">
      <c r="A157" s="169">
        <v>14</v>
      </c>
      <c r="B157" s="7" t="s">
        <v>44</v>
      </c>
      <c r="C157" s="142">
        <v>1.99275</v>
      </c>
      <c r="D157" s="142">
        <v>1.0500000000000001E-2</v>
      </c>
      <c r="E157" s="142">
        <v>8.2500000000000004E-3</v>
      </c>
      <c r="F157" s="142">
        <v>2.775E-2</v>
      </c>
      <c r="G157" s="142">
        <v>2.775E-2</v>
      </c>
      <c r="H157" s="142">
        <v>2.775E-2</v>
      </c>
      <c r="I157" s="142">
        <v>2.775E-2</v>
      </c>
      <c r="J157" s="7">
        <v>75</v>
      </c>
      <c r="K157" s="7">
        <v>5</v>
      </c>
      <c r="L157" s="7" t="s">
        <v>245</v>
      </c>
      <c r="M157" s="7" t="s">
        <v>45</v>
      </c>
      <c r="N157" s="7" t="s">
        <v>62</v>
      </c>
      <c r="O157" s="78">
        <v>25</v>
      </c>
      <c r="P157" s="72">
        <f t="shared" si="68"/>
        <v>0.66425000000000001</v>
      </c>
      <c r="Q157" s="72">
        <f t="shared" si="69"/>
        <v>3.5000000000000001E-3</v>
      </c>
      <c r="R157" s="72">
        <f t="shared" si="70"/>
        <v>2.7499999999999998E-3</v>
      </c>
      <c r="S157" s="72">
        <f t="shared" si="71"/>
        <v>9.2499999999999995E-3</v>
      </c>
      <c r="T157" s="72">
        <f t="shared" si="72"/>
        <v>9.2499999999999995E-3</v>
      </c>
      <c r="U157" s="72">
        <f t="shared" si="73"/>
        <v>9.2499999999999995E-3</v>
      </c>
      <c r="V157" s="72">
        <f t="shared" si="74"/>
        <v>9.2499999999999995E-3</v>
      </c>
    </row>
    <row r="158" spans="1:22" s="7" customFormat="1" x14ac:dyDescent="0.2">
      <c r="A158" s="169">
        <v>14</v>
      </c>
      <c r="B158" s="7" t="s">
        <v>46</v>
      </c>
      <c r="C158" s="142">
        <v>6.0023999999999997</v>
      </c>
      <c r="D158" s="142">
        <v>8.1227999999999998</v>
      </c>
      <c r="E158" s="142">
        <v>7.2203999999999997</v>
      </c>
      <c r="F158" s="142">
        <v>2.4066000000000001</v>
      </c>
      <c r="G158" s="142">
        <v>0</v>
      </c>
      <c r="H158" s="142">
        <v>0</v>
      </c>
      <c r="I158" s="142">
        <v>0</v>
      </c>
      <c r="J158" s="7">
        <v>60</v>
      </c>
      <c r="K158" s="7">
        <v>5</v>
      </c>
      <c r="L158" s="7" t="s">
        <v>245</v>
      </c>
      <c r="M158" s="7" t="s">
        <v>30</v>
      </c>
      <c r="N158" s="10" t="s">
        <v>63</v>
      </c>
      <c r="O158" s="78">
        <v>50</v>
      </c>
      <c r="P158" s="72">
        <f t="shared" si="68"/>
        <v>5.0019999999999998</v>
      </c>
      <c r="Q158" s="72">
        <f t="shared" si="69"/>
        <v>6.7690000000000001</v>
      </c>
      <c r="R158" s="72">
        <f t="shared" si="70"/>
        <v>6.0170000000000003</v>
      </c>
      <c r="S158" s="72">
        <f t="shared" si="71"/>
        <v>2.0055000000000001</v>
      </c>
      <c r="T158" s="72">
        <f t="shared" si="72"/>
        <v>0</v>
      </c>
      <c r="U158" s="72">
        <f t="shared" si="73"/>
        <v>0</v>
      </c>
      <c r="V158" s="72">
        <f t="shared" si="74"/>
        <v>0</v>
      </c>
    </row>
    <row r="159" spans="1:22" s="7" customFormat="1" x14ac:dyDescent="0.2">
      <c r="A159" s="169">
        <v>14</v>
      </c>
      <c r="B159" s="7" t="s">
        <v>47</v>
      </c>
      <c r="C159" s="142">
        <v>32.902999999999999</v>
      </c>
      <c r="D159" s="142">
        <v>25.658000000000001</v>
      </c>
      <c r="E159" s="142">
        <v>23.146999999999998</v>
      </c>
      <c r="F159" s="142">
        <v>22.757999999999999</v>
      </c>
      <c r="G159" s="142">
        <v>22.658000000000001</v>
      </c>
      <c r="H159" s="142">
        <v>22.658000000000001</v>
      </c>
      <c r="I159" s="142">
        <v>22.658000000000001</v>
      </c>
      <c r="J159" s="7">
        <v>100</v>
      </c>
      <c r="K159" s="7">
        <v>5</v>
      </c>
      <c r="L159" s="7" t="s">
        <v>245</v>
      </c>
      <c r="M159" s="7" t="s">
        <v>48</v>
      </c>
      <c r="N159" s="7" t="s">
        <v>62</v>
      </c>
      <c r="O159" s="78">
        <v>100</v>
      </c>
      <c r="P159" s="72">
        <f t="shared" si="68"/>
        <v>32.902999999999999</v>
      </c>
      <c r="Q159" s="72">
        <f t="shared" si="69"/>
        <v>25.658000000000001</v>
      </c>
      <c r="R159" s="72">
        <f t="shared" si="70"/>
        <v>23.146999999999998</v>
      </c>
      <c r="S159" s="72">
        <f t="shared" si="71"/>
        <v>22.757999999999999</v>
      </c>
      <c r="T159" s="72">
        <f t="shared" si="72"/>
        <v>22.658000000000001</v>
      </c>
      <c r="U159" s="72">
        <f t="shared" si="73"/>
        <v>22.658000000000001</v>
      </c>
      <c r="V159" s="72">
        <f t="shared" si="74"/>
        <v>22.658000000000001</v>
      </c>
    </row>
    <row r="160" spans="1:22" s="92" customFormat="1" ht="15" x14ac:dyDescent="0.25">
      <c r="A160" s="92" t="s">
        <v>99</v>
      </c>
      <c r="B160" s="176" t="s">
        <v>49</v>
      </c>
      <c r="C160" s="178"/>
      <c r="D160" s="178"/>
      <c r="E160" s="178"/>
      <c r="F160" s="178"/>
      <c r="G160" s="178"/>
      <c r="H160" s="178"/>
      <c r="I160" s="178"/>
      <c r="L160" s="23"/>
      <c r="O160" s="179"/>
      <c r="P160" s="140">
        <f t="shared" ref="P160:V160" si="81">+SUM(P161:P167)</f>
        <v>118.1275</v>
      </c>
      <c r="Q160" s="140">
        <f t="shared" si="81"/>
        <v>105.71800000000002</v>
      </c>
      <c r="R160" s="140">
        <f t="shared" si="81"/>
        <v>104.248</v>
      </c>
      <c r="S160" s="140">
        <f t="shared" si="81"/>
        <v>95.879000000000005</v>
      </c>
      <c r="T160" s="140">
        <f t="shared" si="81"/>
        <v>94.717500000000001</v>
      </c>
      <c r="U160" s="140">
        <f t="shared" si="81"/>
        <v>94.20150000000001</v>
      </c>
      <c r="V160" s="140">
        <f t="shared" si="81"/>
        <v>94.20150000000001</v>
      </c>
    </row>
    <row r="161" spans="1:22" s="7" customFormat="1" x14ac:dyDescent="0.2">
      <c r="A161" s="171">
        <v>16</v>
      </c>
      <c r="B161" s="9" t="s">
        <v>50</v>
      </c>
      <c r="C161" s="139">
        <v>20.661000000000001</v>
      </c>
      <c r="D161" s="139">
        <v>20.956</v>
      </c>
      <c r="E161" s="139">
        <v>20.472000000000001</v>
      </c>
      <c r="F161" s="139">
        <v>18.773</v>
      </c>
      <c r="G161" s="139">
        <v>18.773</v>
      </c>
      <c r="H161" s="139">
        <v>18.773</v>
      </c>
      <c r="I161" s="139">
        <v>18.773</v>
      </c>
      <c r="J161" s="10">
        <v>100</v>
      </c>
      <c r="K161" s="10">
        <v>13</v>
      </c>
      <c r="L161" s="10" t="s">
        <v>242</v>
      </c>
      <c r="M161" s="10" t="s">
        <v>51</v>
      </c>
      <c r="N161" s="10" t="s">
        <v>62</v>
      </c>
      <c r="O161" s="78">
        <v>50</v>
      </c>
      <c r="P161" s="72">
        <f t="shared" ref="P161:T164" si="82">+$O161/100*C161</f>
        <v>10.330500000000001</v>
      </c>
      <c r="Q161" s="72">
        <f t="shared" si="82"/>
        <v>10.478</v>
      </c>
      <c r="R161" s="72">
        <f t="shared" si="82"/>
        <v>10.236000000000001</v>
      </c>
      <c r="S161" s="72">
        <f t="shared" si="82"/>
        <v>9.3864999999999998</v>
      </c>
      <c r="T161" s="72">
        <f t="shared" si="82"/>
        <v>9.3864999999999998</v>
      </c>
      <c r="U161" s="72">
        <f t="shared" ref="U161:V161" si="83">+$O161/100*H161</f>
        <v>9.3864999999999998</v>
      </c>
      <c r="V161" s="72">
        <f t="shared" si="83"/>
        <v>9.3864999999999998</v>
      </c>
    </row>
    <row r="162" spans="1:22" s="7" customFormat="1" x14ac:dyDescent="0.2">
      <c r="A162" s="171">
        <v>16</v>
      </c>
      <c r="B162" s="9" t="s">
        <v>243</v>
      </c>
      <c r="C162" s="69">
        <v>56.68</v>
      </c>
      <c r="D162" s="69">
        <v>54.86</v>
      </c>
      <c r="E162" s="69">
        <v>55.174999999999997</v>
      </c>
      <c r="F162" s="69">
        <v>48.811</v>
      </c>
      <c r="G162" s="69">
        <v>46.499000000000002</v>
      </c>
      <c r="H162" s="69">
        <v>46.499000000000002</v>
      </c>
      <c r="I162" s="69">
        <v>46.499000000000002</v>
      </c>
      <c r="J162" s="10">
        <v>100</v>
      </c>
      <c r="K162" s="10">
        <v>13</v>
      </c>
      <c r="L162" s="10" t="s">
        <v>244</v>
      </c>
      <c r="M162" s="10" t="s">
        <v>51</v>
      </c>
      <c r="N162" s="10" t="s">
        <v>62</v>
      </c>
      <c r="O162" s="78">
        <v>50</v>
      </c>
      <c r="P162" s="72">
        <f t="shared" si="82"/>
        <v>28.34</v>
      </c>
      <c r="Q162" s="72">
        <f t="shared" si="82"/>
        <v>27.43</v>
      </c>
      <c r="R162" s="72">
        <f t="shared" si="82"/>
        <v>27.587499999999999</v>
      </c>
      <c r="S162" s="72">
        <f t="shared" si="82"/>
        <v>24.4055</v>
      </c>
      <c r="T162" s="72">
        <f t="shared" si="82"/>
        <v>23.249500000000001</v>
      </c>
      <c r="U162" s="72">
        <f t="shared" ref="U162:V164" si="84">+$O162/100*H162</f>
        <v>23.249500000000001</v>
      </c>
      <c r="V162" s="72">
        <f t="shared" si="84"/>
        <v>23.249500000000001</v>
      </c>
    </row>
    <row r="163" spans="1:22" s="7" customFormat="1" x14ac:dyDescent="0.2">
      <c r="A163" s="171">
        <v>16</v>
      </c>
      <c r="B163" s="9" t="s">
        <v>52</v>
      </c>
      <c r="C163" s="69">
        <v>39.954000000000001</v>
      </c>
      <c r="D163" s="69">
        <v>26.702000000000002</v>
      </c>
      <c r="E163" s="69">
        <v>22.132999999999999</v>
      </c>
      <c r="F163" s="69">
        <v>22.01</v>
      </c>
      <c r="G163" s="69">
        <v>21.977</v>
      </c>
      <c r="H163" s="69">
        <v>22.001000000000001</v>
      </c>
      <c r="I163" s="69">
        <v>22.001000000000001</v>
      </c>
      <c r="J163" s="10">
        <v>100</v>
      </c>
      <c r="K163" s="10">
        <v>8</v>
      </c>
      <c r="L163" s="10" t="s">
        <v>244</v>
      </c>
      <c r="M163" s="10" t="s">
        <v>51</v>
      </c>
      <c r="N163" s="10" t="s">
        <v>62</v>
      </c>
      <c r="O163" s="78">
        <v>50</v>
      </c>
      <c r="P163" s="72">
        <f t="shared" si="82"/>
        <v>19.977</v>
      </c>
      <c r="Q163" s="72">
        <f t="shared" si="82"/>
        <v>13.351000000000001</v>
      </c>
      <c r="R163" s="72">
        <f t="shared" si="82"/>
        <v>11.0665</v>
      </c>
      <c r="S163" s="72">
        <f t="shared" si="82"/>
        <v>11.005000000000001</v>
      </c>
      <c r="T163" s="72">
        <f t="shared" si="82"/>
        <v>10.9885</v>
      </c>
      <c r="U163" s="72">
        <f t="shared" si="84"/>
        <v>11.000500000000001</v>
      </c>
      <c r="V163" s="72">
        <f t="shared" si="84"/>
        <v>11.000500000000001</v>
      </c>
    </row>
    <row r="164" spans="1:22" s="7" customFormat="1" x14ac:dyDescent="0.2">
      <c r="A164" s="171">
        <v>16</v>
      </c>
      <c r="B164" s="9" t="s">
        <v>53</v>
      </c>
      <c r="C164" s="69">
        <v>51.978999999999999</v>
      </c>
      <c r="D164" s="69">
        <v>46.652999999999999</v>
      </c>
      <c r="E164" s="69">
        <v>47.462000000000003</v>
      </c>
      <c r="F164" s="69">
        <v>45.460999999999999</v>
      </c>
      <c r="G164" s="69">
        <v>45.695999999999998</v>
      </c>
      <c r="H164" s="69">
        <v>45.191000000000003</v>
      </c>
      <c r="I164" s="69">
        <v>45.191000000000003</v>
      </c>
      <c r="J164" s="10">
        <v>100</v>
      </c>
      <c r="K164" s="10">
        <v>8</v>
      </c>
      <c r="L164" s="10" t="s">
        <v>244</v>
      </c>
      <c r="M164" s="10" t="s">
        <v>51</v>
      </c>
      <c r="N164" s="10" t="s">
        <v>62</v>
      </c>
      <c r="O164" s="78">
        <v>100</v>
      </c>
      <c r="P164" s="72">
        <f t="shared" si="82"/>
        <v>51.978999999999999</v>
      </c>
      <c r="Q164" s="72">
        <f t="shared" si="82"/>
        <v>46.652999999999999</v>
      </c>
      <c r="R164" s="72">
        <f t="shared" si="82"/>
        <v>47.462000000000003</v>
      </c>
      <c r="S164" s="72">
        <f t="shared" si="82"/>
        <v>45.460999999999999</v>
      </c>
      <c r="T164" s="72">
        <f t="shared" si="82"/>
        <v>45.695999999999998</v>
      </c>
      <c r="U164" s="72">
        <f t="shared" si="84"/>
        <v>45.191000000000003</v>
      </c>
      <c r="V164" s="72">
        <f t="shared" si="84"/>
        <v>45.191000000000003</v>
      </c>
    </row>
    <row r="165" spans="1:22" s="7" customFormat="1" x14ac:dyDescent="0.2">
      <c r="A165" s="171">
        <v>16</v>
      </c>
      <c r="B165" s="10" t="s">
        <v>54</v>
      </c>
      <c r="C165" s="69">
        <v>0</v>
      </c>
      <c r="D165" s="69">
        <v>1.88</v>
      </c>
      <c r="E165" s="69">
        <v>0</v>
      </c>
      <c r="F165" s="69">
        <v>0</v>
      </c>
      <c r="G165" s="69">
        <v>1.885</v>
      </c>
      <c r="H165" s="69">
        <v>1.885</v>
      </c>
      <c r="I165" s="69">
        <v>1.885</v>
      </c>
      <c r="J165" s="10">
        <v>100</v>
      </c>
      <c r="K165" s="10">
        <v>8</v>
      </c>
      <c r="L165" s="10" t="s">
        <v>244</v>
      </c>
      <c r="M165" s="10" t="s">
        <v>55</v>
      </c>
      <c r="N165" s="10" t="s">
        <v>63</v>
      </c>
      <c r="O165" s="78">
        <v>50</v>
      </c>
      <c r="P165" s="72">
        <f>+$O165/100*C165</f>
        <v>0</v>
      </c>
      <c r="Q165" s="72">
        <v>0.15</v>
      </c>
      <c r="R165" s="72">
        <v>0.94</v>
      </c>
      <c r="S165" s="72">
        <v>0.94</v>
      </c>
      <c r="T165" s="72">
        <v>0.94</v>
      </c>
      <c r="U165" s="72">
        <v>0.94</v>
      </c>
      <c r="V165" s="72">
        <v>0.94</v>
      </c>
    </row>
    <row r="166" spans="1:22" s="7" customFormat="1" x14ac:dyDescent="0.2">
      <c r="A166" s="171">
        <v>16</v>
      </c>
      <c r="B166" s="10" t="s">
        <v>393</v>
      </c>
      <c r="C166" s="69">
        <v>0.3</v>
      </c>
      <c r="D166" s="69">
        <v>0.3</v>
      </c>
      <c r="E166" s="69">
        <v>0.3</v>
      </c>
      <c r="F166" s="69">
        <v>0.3</v>
      </c>
      <c r="G166" s="69">
        <v>0.3</v>
      </c>
      <c r="H166" s="69">
        <v>0.3</v>
      </c>
      <c r="I166" s="69">
        <v>0.3</v>
      </c>
      <c r="J166" s="10">
        <v>100</v>
      </c>
      <c r="K166" s="10">
        <v>8</v>
      </c>
      <c r="L166" s="10" t="s">
        <v>311</v>
      </c>
      <c r="M166" s="10" t="s">
        <v>394</v>
      </c>
      <c r="N166" s="10" t="s">
        <v>63</v>
      </c>
      <c r="O166" s="78">
        <v>100</v>
      </c>
      <c r="P166" s="72">
        <f>+$O166/100*C166</f>
        <v>0.3</v>
      </c>
      <c r="Q166" s="72">
        <v>0.15</v>
      </c>
      <c r="R166" s="72">
        <v>0.94</v>
      </c>
      <c r="S166" s="72">
        <v>0.94</v>
      </c>
      <c r="T166" s="72">
        <v>0.94</v>
      </c>
      <c r="U166" s="72">
        <v>0.94</v>
      </c>
      <c r="V166" s="72">
        <v>0.94</v>
      </c>
    </row>
    <row r="167" spans="1:22" s="7" customFormat="1" x14ac:dyDescent="0.2">
      <c r="A167" s="171">
        <v>16</v>
      </c>
      <c r="B167" s="10" t="s">
        <v>473</v>
      </c>
      <c r="C167" s="69">
        <v>18.349</v>
      </c>
      <c r="D167" s="69">
        <v>18.387</v>
      </c>
      <c r="E167" s="69">
        <v>10.657999999999999</v>
      </c>
      <c r="F167" s="69">
        <v>9.9550000000000001</v>
      </c>
      <c r="G167" s="69">
        <v>9.7080000000000002</v>
      </c>
      <c r="H167" s="69">
        <v>10.083</v>
      </c>
      <c r="I167" s="69">
        <v>10.007999999999999</v>
      </c>
      <c r="J167" s="10">
        <v>100</v>
      </c>
      <c r="K167" s="11">
        <v>8</v>
      </c>
      <c r="L167" s="10" t="s">
        <v>244</v>
      </c>
      <c r="M167" s="10" t="s">
        <v>16</v>
      </c>
      <c r="N167" s="10" t="s">
        <v>63</v>
      </c>
      <c r="O167" s="78">
        <v>30</v>
      </c>
      <c r="P167" s="72">
        <v>7.2009999999999996</v>
      </c>
      <c r="Q167" s="72">
        <v>7.5060000000000002</v>
      </c>
      <c r="R167" s="72">
        <v>6.016</v>
      </c>
      <c r="S167" s="72">
        <v>3.7410000000000001</v>
      </c>
      <c r="T167" s="72">
        <v>3.5169999999999999</v>
      </c>
      <c r="U167" s="72">
        <v>3.4940000000000002</v>
      </c>
      <c r="V167" s="72">
        <v>3.4940000000000002</v>
      </c>
    </row>
    <row r="168" spans="1:22" s="7" customFormat="1" x14ac:dyDescent="0.2">
      <c r="A168" s="171">
        <v>16</v>
      </c>
      <c r="B168" s="10" t="s">
        <v>471</v>
      </c>
      <c r="C168" s="69">
        <v>0.2</v>
      </c>
      <c r="D168" s="69">
        <v>0.17100000000000001</v>
      </c>
      <c r="E168" s="69">
        <v>0.248</v>
      </c>
      <c r="F168" s="69">
        <v>0.247</v>
      </c>
      <c r="G168" s="69">
        <v>0.25800000000000001</v>
      </c>
      <c r="H168" s="69">
        <v>0.25800000000000001</v>
      </c>
      <c r="I168" s="69">
        <v>0.25800000000000001</v>
      </c>
      <c r="J168" s="10">
        <v>100</v>
      </c>
      <c r="K168" s="11">
        <v>8</v>
      </c>
      <c r="L168" s="10" t="s">
        <v>311</v>
      </c>
      <c r="M168" s="10" t="s">
        <v>10</v>
      </c>
      <c r="N168" s="10" t="s">
        <v>63</v>
      </c>
      <c r="O168" s="78">
        <v>100</v>
      </c>
      <c r="P168" s="72">
        <f t="shared" ref="P168:P169" si="85">+$O168/100*C168</f>
        <v>0.2</v>
      </c>
      <c r="Q168" s="72">
        <f t="shared" ref="Q168:Q169" si="86">+$O168/100*D168</f>
        <v>0.17100000000000001</v>
      </c>
      <c r="R168" s="72">
        <f t="shared" ref="R168:R169" si="87">+$O168/100*E168</f>
        <v>0.248</v>
      </c>
      <c r="S168" s="72">
        <f t="shared" ref="S168:S169" si="88">+$O168/100*F168</f>
        <v>0.247</v>
      </c>
      <c r="T168" s="72">
        <f t="shared" ref="T168:T169" si="89">+$O168/100*G168</f>
        <v>0.25800000000000001</v>
      </c>
      <c r="U168" s="72">
        <f t="shared" ref="U168:U169" si="90">+$O168/100*H168</f>
        <v>0.25800000000000001</v>
      </c>
      <c r="V168" s="72">
        <f t="shared" ref="V168:V169" si="91">+$O168/100*I168</f>
        <v>0.25800000000000001</v>
      </c>
    </row>
    <row r="169" spans="1:22" s="7" customFormat="1" x14ac:dyDescent="0.2">
      <c r="A169" s="171">
        <v>16</v>
      </c>
      <c r="B169" s="10" t="s">
        <v>472</v>
      </c>
      <c r="C169" s="69">
        <v>0.61699999999999999</v>
      </c>
      <c r="D169" s="69">
        <v>0.74099999999999999</v>
      </c>
      <c r="E169" s="69">
        <v>1.629</v>
      </c>
      <c r="F169" s="69">
        <v>2.2000000000000002</v>
      </c>
      <c r="G169" s="69">
        <v>2.1</v>
      </c>
      <c r="H169" s="69">
        <v>2</v>
      </c>
      <c r="I169" s="69">
        <v>2</v>
      </c>
      <c r="J169" s="10">
        <v>100</v>
      </c>
      <c r="K169" s="11">
        <v>8</v>
      </c>
      <c r="L169" s="10" t="s">
        <v>311</v>
      </c>
      <c r="M169" s="10" t="s">
        <v>10</v>
      </c>
      <c r="N169" s="10" t="s">
        <v>63</v>
      </c>
      <c r="O169" s="78">
        <v>100</v>
      </c>
      <c r="P169" s="72">
        <f t="shared" si="85"/>
        <v>0.61699999999999999</v>
      </c>
      <c r="Q169" s="72">
        <f t="shared" si="86"/>
        <v>0.74099999999999999</v>
      </c>
      <c r="R169" s="72">
        <f t="shared" si="87"/>
        <v>1.629</v>
      </c>
      <c r="S169" s="72">
        <f t="shared" si="88"/>
        <v>2.2000000000000002</v>
      </c>
      <c r="T169" s="72">
        <f t="shared" si="89"/>
        <v>2.1</v>
      </c>
      <c r="U169" s="72">
        <f t="shared" si="90"/>
        <v>2</v>
      </c>
      <c r="V169" s="72">
        <f t="shared" si="91"/>
        <v>2</v>
      </c>
    </row>
    <row r="170" spans="1:22" s="92" customFormat="1" ht="15" x14ac:dyDescent="0.25">
      <c r="A170" s="172" t="s">
        <v>351</v>
      </c>
      <c r="B170" s="103" t="s">
        <v>350</v>
      </c>
      <c r="C170" s="104"/>
      <c r="D170" s="104"/>
      <c r="E170" s="104"/>
      <c r="F170" s="104"/>
      <c r="G170" s="104"/>
      <c r="H170" s="104"/>
      <c r="I170" s="104"/>
      <c r="J170" s="103"/>
      <c r="K170" s="105"/>
      <c r="L170" s="128"/>
      <c r="M170" s="103"/>
      <c r="N170" s="103"/>
      <c r="O170" s="179"/>
      <c r="P170" s="73">
        <f>+SUM(P171:P172)</f>
        <v>17.913149999999998</v>
      </c>
      <c r="Q170" s="73">
        <f t="shared" ref="Q170:V170" si="92">+SUM(Q171:Q172)</f>
        <v>19.959799999999998</v>
      </c>
      <c r="R170" s="73">
        <f t="shared" si="92"/>
        <v>11.056100000000001</v>
      </c>
      <c r="S170" s="73">
        <f t="shared" si="92"/>
        <v>9.3737999999999992</v>
      </c>
      <c r="T170" s="73">
        <f t="shared" si="92"/>
        <v>9.4970999999999997</v>
      </c>
      <c r="U170" s="73">
        <f t="shared" si="92"/>
        <v>7.8353999999999999</v>
      </c>
      <c r="V170" s="73">
        <f t="shared" si="92"/>
        <v>7.7882999999999996</v>
      </c>
    </row>
    <row r="171" spans="1:22" s="7" customFormat="1" x14ac:dyDescent="0.2">
      <c r="A171" s="171" t="s">
        <v>385</v>
      </c>
      <c r="B171" s="135" t="s">
        <v>386</v>
      </c>
      <c r="C171" s="138">
        <v>13.338299999999998</v>
      </c>
      <c r="D171" s="138">
        <v>16.329599999999999</v>
      </c>
      <c r="E171" s="138">
        <v>8.8770000000000007</v>
      </c>
      <c r="F171" s="138">
        <v>9.3737999999999992</v>
      </c>
      <c r="G171" s="138">
        <v>9.4970999999999997</v>
      </c>
      <c r="H171" s="138">
        <v>7.8353999999999999</v>
      </c>
      <c r="I171" s="138">
        <v>7.7882999999999996</v>
      </c>
      <c r="J171" s="137">
        <v>30</v>
      </c>
      <c r="K171" s="136">
        <v>5</v>
      </c>
      <c r="L171" s="7" t="s">
        <v>245</v>
      </c>
      <c r="M171" s="112" t="s">
        <v>16</v>
      </c>
      <c r="N171" s="7" t="s">
        <v>63</v>
      </c>
      <c r="O171" s="136">
        <v>30</v>
      </c>
      <c r="P171" s="72">
        <f t="shared" ref="P171:T172" si="93">+$O171/$J171*C171</f>
        <v>13.338299999999998</v>
      </c>
      <c r="Q171" s="72">
        <f t="shared" si="93"/>
        <v>16.329599999999999</v>
      </c>
      <c r="R171" s="72">
        <f t="shared" si="93"/>
        <v>8.8770000000000007</v>
      </c>
      <c r="S171" s="72">
        <f t="shared" si="93"/>
        <v>9.3737999999999992</v>
      </c>
      <c r="T171" s="72">
        <f t="shared" si="93"/>
        <v>9.4970999999999997</v>
      </c>
      <c r="U171" s="72">
        <f t="shared" ref="U171:U172" si="94">+$O171/$J171*H171</f>
        <v>7.8353999999999999</v>
      </c>
      <c r="V171" s="72">
        <f t="shared" ref="V171:V172" si="95">+$O171/$J171*I171</f>
        <v>7.7882999999999996</v>
      </c>
    </row>
    <row r="172" spans="1:22" s="7" customFormat="1" x14ac:dyDescent="0.2">
      <c r="A172" s="171" t="s">
        <v>385</v>
      </c>
      <c r="B172" s="93" t="s">
        <v>352</v>
      </c>
      <c r="C172" s="138">
        <v>4.5748499999999996</v>
      </c>
      <c r="D172" s="138">
        <v>3.6301999999999999</v>
      </c>
      <c r="E172" s="138">
        <v>2.1791</v>
      </c>
      <c r="F172" s="138">
        <v>0</v>
      </c>
      <c r="G172" s="138">
        <v>0</v>
      </c>
      <c r="H172" s="138">
        <v>0</v>
      </c>
      <c r="I172" s="138">
        <v>0</v>
      </c>
      <c r="J172" s="137">
        <v>35</v>
      </c>
      <c r="K172" s="136">
        <v>6</v>
      </c>
      <c r="L172" s="10" t="s">
        <v>246</v>
      </c>
      <c r="M172" s="112" t="s">
        <v>35</v>
      </c>
      <c r="N172" s="7" t="s">
        <v>63</v>
      </c>
      <c r="O172" s="136">
        <v>35</v>
      </c>
      <c r="P172" s="72">
        <f t="shared" si="93"/>
        <v>4.5748499999999996</v>
      </c>
      <c r="Q172" s="72">
        <f t="shared" si="93"/>
        <v>3.6301999999999999</v>
      </c>
      <c r="R172" s="72">
        <f t="shared" si="93"/>
        <v>2.1791</v>
      </c>
      <c r="S172" s="72">
        <f t="shared" si="93"/>
        <v>0</v>
      </c>
      <c r="T172" s="72">
        <f t="shared" si="93"/>
        <v>0</v>
      </c>
      <c r="U172" s="72">
        <f t="shared" si="94"/>
        <v>0</v>
      </c>
      <c r="V172" s="72">
        <f t="shared" si="95"/>
        <v>0</v>
      </c>
    </row>
    <row r="173" spans="1:22" s="92" customFormat="1" ht="15" x14ac:dyDescent="0.25">
      <c r="A173" s="172" t="s">
        <v>475</v>
      </c>
      <c r="B173" s="103"/>
      <c r="C173" s="104"/>
      <c r="D173" s="104"/>
      <c r="E173" s="104"/>
      <c r="F173" s="104"/>
      <c r="G173" s="104"/>
      <c r="H173" s="104"/>
      <c r="I173" s="104"/>
      <c r="J173" s="103"/>
      <c r="K173" s="105"/>
      <c r="L173" s="128"/>
      <c r="M173" s="103"/>
      <c r="N173" s="103"/>
      <c r="O173" s="179"/>
      <c r="P173" s="73"/>
      <c r="Q173" s="73"/>
      <c r="R173" s="73"/>
      <c r="S173" s="73"/>
      <c r="T173" s="73"/>
      <c r="U173" s="73"/>
      <c r="V173" s="73"/>
    </row>
    <row r="174" spans="1:22" s="7" customFormat="1" ht="25.5" x14ac:dyDescent="0.2">
      <c r="A174" s="171">
        <v>19</v>
      </c>
      <c r="B174" s="135" t="s">
        <v>533</v>
      </c>
      <c r="C174" s="138">
        <v>0</v>
      </c>
      <c r="D174" s="138">
        <v>50</v>
      </c>
      <c r="E174" s="138">
        <v>50</v>
      </c>
      <c r="F174" s="138">
        <v>0</v>
      </c>
      <c r="G174" s="138">
        <v>0</v>
      </c>
      <c r="H174" s="138">
        <v>0</v>
      </c>
      <c r="I174" s="138">
        <v>0</v>
      </c>
      <c r="J174" s="137">
        <v>100</v>
      </c>
      <c r="K174" s="136" t="s">
        <v>22</v>
      </c>
      <c r="M174" s="112" t="s">
        <v>476</v>
      </c>
      <c r="N174" s="7" t="s">
        <v>477</v>
      </c>
      <c r="O174" s="136">
        <v>100</v>
      </c>
      <c r="P174" s="72">
        <f t="shared" ref="P174" si="96">+$O174/$J174*C174</f>
        <v>0</v>
      </c>
      <c r="Q174" s="72">
        <f t="shared" ref="Q174" si="97">+$O174/$J174*D174</f>
        <v>50</v>
      </c>
      <c r="R174" s="72">
        <f t="shared" ref="R174" si="98">+$O174/$J174*E174</f>
        <v>50</v>
      </c>
      <c r="S174" s="72">
        <f t="shared" ref="S174" si="99">+$O174/$J174*F174</f>
        <v>0</v>
      </c>
      <c r="T174" s="72">
        <f t="shared" ref="T174" si="100">+$O174/$J174*G174</f>
        <v>0</v>
      </c>
      <c r="U174" s="72">
        <f t="shared" ref="U174" si="101">+$O174/$J174*H174</f>
        <v>0</v>
      </c>
      <c r="V174" s="72">
        <f t="shared" ref="V174" si="102">+$O174/$J174*I174</f>
        <v>0</v>
      </c>
    </row>
    <row r="175" spans="1:22" s="92" customFormat="1" ht="15" x14ac:dyDescent="0.25">
      <c r="A175" s="92" t="s">
        <v>100</v>
      </c>
      <c r="B175" s="176" t="s">
        <v>56</v>
      </c>
      <c r="C175" s="178"/>
      <c r="D175" s="178"/>
      <c r="E175" s="178"/>
      <c r="F175" s="178"/>
      <c r="G175" s="178"/>
      <c r="H175" s="178"/>
      <c r="I175" s="178"/>
      <c r="L175" s="23"/>
      <c r="O175" s="179"/>
      <c r="P175" s="73">
        <f>+P176</f>
        <v>0</v>
      </c>
      <c r="Q175" s="73">
        <f t="shared" ref="Q175:V175" si="103">+Q176</f>
        <v>0</v>
      </c>
      <c r="R175" s="73">
        <f t="shared" si="103"/>
        <v>0</v>
      </c>
      <c r="S175" s="73">
        <f t="shared" si="103"/>
        <v>0</v>
      </c>
      <c r="T175" s="73">
        <f t="shared" si="103"/>
        <v>0</v>
      </c>
      <c r="U175" s="73">
        <f t="shared" si="103"/>
        <v>0</v>
      </c>
      <c r="V175" s="73">
        <f t="shared" si="103"/>
        <v>0</v>
      </c>
    </row>
    <row r="176" spans="1:22" s="7" customFormat="1" x14ac:dyDescent="0.2">
      <c r="A176" s="169">
        <v>40</v>
      </c>
      <c r="B176" s="7" t="s">
        <v>57</v>
      </c>
      <c r="C176" s="142">
        <v>3.7130000000000001</v>
      </c>
      <c r="D176" s="142">
        <v>3.85</v>
      </c>
      <c r="E176" s="142">
        <v>3.6857500000000001</v>
      </c>
      <c r="F176" s="142">
        <v>3.6080000000000001</v>
      </c>
      <c r="G176" s="142">
        <v>3.2109999999999999</v>
      </c>
      <c r="H176" s="142">
        <v>3.2109999999999999</v>
      </c>
      <c r="I176" s="142">
        <v>3.2109999999999999</v>
      </c>
      <c r="J176" s="7">
        <v>25</v>
      </c>
      <c r="K176" s="7">
        <v>11</v>
      </c>
      <c r="L176" s="168" t="s">
        <v>95</v>
      </c>
      <c r="M176" s="7" t="s">
        <v>12</v>
      </c>
      <c r="N176" s="10" t="s">
        <v>62</v>
      </c>
      <c r="O176" s="78">
        <v>0</v>
      </c>
      <c r="P176" s="72">
        <f>+$O176/100*C176</f>
        <v>0</v>
      </c>
      <c r="Q176" s="72">
        <f>+$O176/100*D176</f>
        <v>0</v>
      </c>
      <c r="R176" s="72">
        <f>+$O176/100*E176</f>
        <v>0</v>
      </c>
      <c r="S176" s="72">
        <f>+$O176/100*F176</f>
        <v>0</v>
      </c>
      <c r="T176" s="72">
        <f>+$O176/100*G176</f>
        <v>0</v>
      </c>
      <c r="U176" s="72">
        <f t="shared" ref="U176" si="104">+$O176/100*H176</f>
        <v>0</v>
      </c>
      <c r="V176" s="72">
        <f t="shared" ref="V176" si="105">+$O176/100*I176</f>
        <v>0</v>
      </c>
    </row>
    <row r="177" spans="1:22" s="3" customFormat="1" ht="15" x14ac:dyDescent="0.25">
      <c r="A177" s="92"/>
      <c r="B177" s="3" t="s">
        <v>58</v>
      </c>
      <c r="C177" s="12">
        <f>SUM(C109:C176)</f>
        <v>908.58179999999982</v>
      </c>
      <c r="D177" s="12">
        <f t="shared" ref="D177:I177" si="106">SUM(D109:D176)</f>
        <v>970.76125000000025</v>
      </c>
      <c r="E177" s="12">
        <f t="shared" si="106"/>
        <v>875.51059999999995</v>
      </c>
      <c r="F177" s="12">
        <f t="shared" si="106"/>
        <v>800.82684999999992</v>
      </c>
      <c r="G177" s="12">
        <f t="shared" si="106"/>
        <v>785.26144999999997</v>
      </c>
      <c r="H177" s="12">
        <f t="shared" si="106"/>
        <v>774.49644999999987</v>
      </c>
      <c r="I177" s="12">
        <f t="shared" si="106"/>
        <v>793.34154999999987</v>
      </c>
      <c r="L177" s="1"/>
      <c r="O177" s="77"/>
      <c r="P177" s="6">
        <f t="shared" ref="P177:V177" si="107">+P108+P113+P143+P148+P160+P170+P175</f>
        <v>770.92604999999992</v>
      </c>
      <c r="Q177" s="6">
        <f t="shared" si="107"/>
        <v>794.73210000000006</v>
      </c>
      <c r="R177" s="6">
        <f t="shared" si="107"/>
        <v>705.34450000000015</v>
      </c>
      <c r="S177" s="6">
        <f t="shared" si="107"/>
        <v>690.57665000000009</v>
      </c>
      <c r="T177" s="6">
        <f t="shared" si="107"/>
        <v>680.99205000000006</v>
      </c>
      <c r="U177" s="6">
        <f t="shared" si="107"/>
        <v>670.69994999999994</v>
      </c>
      <c r="V177" s="6">
        <f t="shared" si="107"/>
        <v>689.76814999999988</v>
      </c>
    </row>
    <row r="178" spans="1:22" x14ac:dyDescent="0.2">
      <c r="C178" s="66"/>
      <c r="D178" s="66"/>
      <c r="E178" s="66"/>
      <c r="F178" s="66"/>
      <c r="G178" s="66"/>
      <c r="H178" s="66"/>
      <c r="I178" s="66"/>
    </row>
    <row r="179" spans="1:22" ht="15" x14ac:dyDescent="0.25">
      <c r="A179" s="32"/>
      <c r="B179" s="29" t="s">
        <v>125</v>
      </c>
      <c r="C179" s="67"/>
      <c r="D179" s="67"/>
      <c r="E179" s="67"/>
      <c r="F179" s="67"/>
      <c r="G179" s="67"/>
      <c r="H179" s="67"/>
      <c r="I179" s="67"/>
      <c r="J179" s="29"/>
      <c r="K179" s="31"/>
      <c r="L179" s="129"/>
      <c r="M179" s="29"/>
      <c r="N179" s="29"/>
      <c r="O179" s="29"/>
    </row>
    <row r="180" spans="1:22" x14ac:dyDescent="0.2">
      <c r="A180" s="7">
        <v>98</v>
      </c>
      <c r="B180" s="4" t="s">
        <v>170</v>
      </c>
      <c r="C180" s="66">
        <v>0.6</v>
      </c>
      <c r="D180" s="66">
        <v>0.8</v>
      </c>
      <c r="E180" s="66">
        <v>1.1000000000000001</v>
      </c>
      <c r="F180" s="66">
        <v>0.9</v>
      </c>
      <c r="G180" s="66">
        <v>0.9</v>
      </c>
      <c r="H180" s="66">
        <v>0.9</v>
      </c>
      <c r="I180" s="66">
        <v>0.9</v>
      </c>
      <c r="J180" s="4">
        <v>100</v>
      </c>
      <c r="K180" s="4">
        <v>11</v>
      </c>
      <c r="L180" s="124" t="s">
        <v>95</v>
      </c>
      <c r="M180" s="4" t="s">
        <v>63</v>
      </c>
      <c r="N180" s="4" t="s">
        <v>63</v>
      </c>
      <c r="O180" s="13">
        <v>0</v>
      </c>
    </row>
    <row r="181" spans="1:22" s="3" customFormat="1" ht="15" x14ac:dyDescent="0.25">
      <c r="A181" s="92"/>
      <c r="B181" s="3" t="s">
        <v>128</v>
      </c>
      <c r="C181" s="12">
        <f>C180</f>
        <v>0.6</v>
      </c>
      <c r="D181" s="12">
        <f t="shared" ref="D181:I181" si="108">D180</f>
        <v>0.8</v>
      </c>
      <c r="E181" s="12">
        <f t="shared" si="108"/>
        <v>1.1000000000000001</v>
      </c>
      <c r="F181" s="12">
        <f t="shared" si="108"/>
        <v>0.9</v>
      </c>
      <c r="G181" s="12">
        <f t="shared" si="108"/>
        <v>0.9</v>
      </c>
      <c r="H181" s="12">
        <f t="shared" si="108"/>
        <v>0.9</v>
      </c>
      <c r="I181" s="12">
        <f t="shared" si="108"/>
        <v>0.9</v>
      </c>
      <c r="L181" s="1"/>
      <c r="O181" s="77"/>
      <c r="P181" s="6"/>
      <c r="Q181" s="6"/>
      <c r="R181" s="6"/>
      <c r="S181" s="6"/>
      <c r="T181" s="6"/>
      <c r="U181" s="6"/>
      <c r="V181" s="6"/>
    </row>
    <row r="182" spans="1:22" x14ac:dyDescent="0.2">
      <c r="A182" s="7"/>
      <c r="C182" s="66"/>
      <c r="D182" s="66"/>
      <c r="E182" s="66"/>
      <c r="F182" s="66"/>
      <c r="G182" s="66"/>
      <c r="H182" s="66"/>
      <c r="I182" s="66"/>
      <c r="P182" s="5" t="s">
        <v>231</v>
      </c>
    </row>
    <row r="183" spans="1:22" ht="15" x14ac:dyDescent="0.25">
      <c r="A183" s="33"/>
      <c r="B183" s="29" t="s">
        <v>126</v>
      </c>
      <c r="C183" s="70"/>
      <c r="D183" s="70"/>
      <c r="E183" s="70"/>
      <c r="F183" s="70"/>
      <c r="G183" s="70"/>
      <c r="H183" s="70"/>
      <c r="I183" s="70"/>
      <c r="J183" s="33"/>
      <c r="K183" s="33"/>
      <c r="L183" s="130"/>
      <c r="M183" s="33"/>
      <c r="N183" s="33"/>
      <c r="O183" s="33"/>
    </row>
    <row r="184" spans="1:22" s="7" customFormat="1" x14ac:dyDescent="0.2">
      <c r="A184" s="168" t="s">
        <v>378</v>
      </c>
      <c r="B184" s="168" t="s">
        <v>330</v>
      </c>
      <c r="C184" s="173">
        <v>20.7</v>
      </c>
      <c r="D184" s="173">
        <v>22</v>
      </c>
      <c r="E184" s="173">
        <v>22</v>
      </c>
      <c r="F184" s="173">
        <v>22</v>
      </c>
      <c r="G184" s="173">
        <v>22</v>
      </c>
      <c r="H184" s="173">
        <v>22</v>
      </c>
      <c r="I184" s="173">
        <v>22</v>
      </c>
      <c r="J184" s="174">
        <v>3.3333333333333299</v>
      </c>
      <c r="K184" s="180" t="s">
        <v>115</v>
      </c>
      <c r="L184" s="168" t="s">
        <v>154</v>
      </c>
      <c r="M184" s="168" t="s">
        <v>283</v>
      </c>
      <c r="N184" s="168" t="s">
        <v>62</v>
      </c>
      <c r="O184" s="78">
        <v>50</v>
      </c>
      <c r="P184" s="72">
        <f>+$O184/100*C184</f>
        <v>10.35</v>
      </c>
      <c r="Q184" s="72">
        <f>+$O184/100*D184</f>
        <v>11</v>
      </c>
      <c r="R184" s="72">
        <f>+$O184/100*E184</f>
        <v>11</v>
      </c>
      <c r="S184" s="72">
        <f>+$O184/100*F184</f>
        <v>11</v>
      </c>
      <c r="T184" s="72">
        <f>+$O184/100*G184</f>
        <v>11</v>
      </c>
      <c r="U184" s="72">
        <f t="shared" ref="U184" si="109">+$O184/100*H184</f>
        <v>11</v>
      </c>
      <c r="V184" s="72">
        <f t="shared" ref="V184" si="110">+$O184/100*I184</f>
        <v>11</v>
      </c>
    </row>
    <row r="185" spans="1:22" s="7" customFormat="1" x14ac:dyDescent="0.2">
      <c r="A185" s="168" t="s">
        <v>250</v>
      </c>
      <c r="B185" s="168" t="s">
        <v>379</v>
      </c>
      <c r="C185" s="173">
        <v>2.7149999999999999</v>
      </c>
      <c r="D185" s="173">
        <v>0.79999999999999982</v>
      </c>
      <c r="E185" s="173">
        <v>0.79999999999999982</v>
      </c>
      <c r="F185" s="173">
        <v>-0.70000000000000018</v>
      </c>
      <c r="G185" s="173">
        <v>-3.5</v>
      </c>
      <c r="H185" s="173">
        <v>0</v>
      </c>
      <c r="I185" s="173">
        <v>0</v>
      </c>
      <c r="J185" s="174">
        <v>0.18066357731949401</v>
      </c>
      <c r="K185" s="180">
        <v>7</v>
      </c>
      <c r="L185" s="168" t="s">
        <v>149</v>
      </c>
      <c r="M185" s="168" t="s">
        <v>10</v>
      </c>
      <c r="N185" s="168" t="s">
        <v>63</v>
      </c>
      <c r="O185" s="78"/>
      <c r="P185" s="72"/>
      <c r="Q185" s="72"/>
      <c r="R185" s="72"/>
      <c r="S185" s="72"/>
      <c r="T185" s="72"/>
      <c r="U185" s="72"/>
      <c r="V185" s="72"/>
    </row>
    <row r="186" spans="1:22" s="7" customFormat="1" x14ac:dyDescent="0.2">
      <c r="A186" s="168" t="s">
        <v>250</v>
      </c>
      <c r="B186" s="168" t="s">
        <v>380</v>
      </c>
      <c r="C186" s="173">
        <v>15.6</v>
      </c>
      <c r="D186" s="173">
        <v>15.4</v>
      </c>
      <c r="E186" s="173">
        <v>15.4</v>
      </c>
      <c r="F186" s="173">
        <v>15.4</v>
      </c>
      <c r="G186" s="173">
        <v>15.4</v>
      </c>
      <c r="H186" s="173">
        <v>15.4</v>
      </c>
      <c r="I186" s="173">
        <v>15.4</v>
      </c>
      <c r="J186" s="174">
        <v>3.4777738634002699</v>
      </c>
      <c r="K186" s="180" t="s">
        <v>115</v>
      </c>
      <c r="L186" s="168" t="s">
        <v>154</v>
      </c>
      <c r="M186" s="168" t="s">
        <v>45</v>
      </c>
      <c r="N186" s="168" t="s">
        <v>62</v>
      </c>
      <c r="O186" s="78">
        <v>100</v>
      </c>
      <c r="P186" s="72">
        <f>+$O186/100*C186</f>
        <v>15.6</v>
      </c>
      <c r="Q186" s="72">
        <f>+$O186/100*D186</f>
        <v>15.4</v>
      </c>
      <c r="R186" s="72">
        <f>+$O186/100*E186</f>
        <v>15.4</v>
      </c>
      <c r="S186" s="72">
        <f>+$O186/100*F186</f>
        <v>15.4</v>
      </c>
      <c r="T186" s="72">
        <f>+$O186/100*G186</f>
        <v>15.4</v>
      </c>
      <c r="U186" s="72">
        <f t="shared" ref="U186" si="111">+$O186/100*H186</f>
        <v>15.4</v>
      </c>
      <c r="V186" s="72">
        <f t="shared" ref="V186" si="112">+$O186/100*I186</f>
        <v>15.4</v>
      </c>
    </row>
    <row r="187" spans="1:22" s="7" customFormat="1" x14ac:dyDescent="0.2">
      <c r="A187" s="168" t="s">
        <v>262</v>
      </c>
      <c r="B187" s="168" t="s">
        <v>478</v>
      </c>
      <c r="C187" s="173">
        <v>3.6269999999999998</v>
      </c>
      <c r="D187" s="173">
        <v>2.2759999999999998</v>
      </c>
      <c r="E187" s="173">
        <v>2.5049999999999999</v>
      </c>
      <c r="F187" s="173">
        <v>1.9970000000000001</v>
      </c>
      <c r="G187" s="173">
        <v>1.92</v>
      </c>
      <c r="H187" s="173">
        <v>1.92</v>
      </c>
      <c r="I187" s="173">
        <v>1.92</v>
      </c>
      <c r="J187" s="174">
        <v>13.787219990093</v>
      </c>
      <c r="K187" s="180">
        <v>7</v>
      </c>
      <c r="L187" s="168" t="s">
        <v>149</v>
      </c>
      <c r="M187" s="168" t="s">
        <v>63</v>
      </c>
      <c r="N187" s="168" t="s">
        <v>63</v>
      </c>
      <c r="O187" s="78"/>
      <c r="P187" s="72"/>
      <c r="Q187" s="72"/>
      <c r="R187" s="72"/>
      <c r="S187" s="72"/>
      <c r="T187" s="72"/>
      <c r="U187" s="72"/>
      <c r="V187" s="72"/>
    </row>
    <row r="188" spans="1:22" s="7" customFormat="1" x14ac:dyDescent="0.2">
      <c r="A188" s="168" t="s">
        <v>259</v>
      </c>
      <c r="B188" s="168" t="s">
        <v>480</v>
      </c>
      <c r="C188" s="173">
        <v>4.601</v>
      </c>
      <c r="D188" s="173">
        <v>2.802</v>
      </c>
      <c r="E188" s="173">
        <v>3.4980000000000002</v>
      </c>
      <c r="F188" s="173">
        <v>0</v>
      </c>
      <c r="G188" s="173">
        <v>0</v>
      </c>
      <c r="H188" s="173">
        <v>0</v>
      </c>
      <c r="I188" s="173">
        <v>0</v>
      </c>
      <c r="J188" s="174">
        <v>2.7071579485036299</v>
      </c>
      <c r="K188" s="180">
        <v>7</v>
      </c>
      <c r="L188" s="168" t="s">
        <v>149</v>
      </c>
      <c r="M188" s="168" t="s">
        <v>10</v>
      </c>
      <c r="N188" s="168" t="s">
        <v>62</v>
      </c>
      <c r="O188" s="78">
        <v>100</v>
      </c>
      <c r="P188" s="72">
        <f>+$O188/100*C188</f>
        <v>4.601</v>
      </c>
      <c r="Q188" s="72">
        <f>+$O188/100*D188</f>
        <v>2.802</v>
      </c>
      <c r="R188" s="72">
        <f>+$O188/100*E188</f>
        <v>3.4980000000000002</v>
      </c>
      <c r="S188" s="72">
        <f>+$O188/100*F188</f>
        <v>0</v>
      </c>
      <c r="T188" s="72">
        <f>+$O188/100*G188</f>
        <v>0</v>
      </c>
      <c r="U188" s="72">
        <f t="shared" ref="U188" si="113">+$O188/100*H188</f>
        <v>0</v>
      </c>
      <c r="V188" s="72">
        <f t="shared" ref="V188" si="114">+$O188/100*I188</f>
        <v>0</v>
      </c>
    </row>
    <row r="189" spans="1:22" s="7" customFormat="1" x14ac:dyDescent="0.2">
      <c r="A189" s="168" t="s">
        <v>259</v>
      </c>
      <c r="B189" s="168" t="s">
        <v>260</v>
      </c>
      <c r="C189" s="173">
        <v>18.274000000000001</v>
      </c>
      <c r="D189" s="173">
        <v>17.207999999999998</v>
      </c>
      <c r="E189" s="173">
        <v>17.225999999999999</v>
      </c>
      <c r="F189" s="173">
        <v>17.225999999999999</v>
      </c>
      <c r="G189" s="173">
        <v>17.225999999999999</v>
      </c>
      <c r="H189" s="173">
        <v>17.225999999999999</v>
      </c>
      <c r="I189" s="173">
        <v>17.225999999999999</v>
      </c>
      <c r="J189" s="174">
        <v>13.331475935083899</v>
      </c>
      <c r="K189" s="180">
        <v>7</v>
      </c>
      <c r="L189" s="168" t="s">
        <v>149</v>
      </c>
      <c r="M189" s="168" t="s">
        <v>261</v>
      </c>
      <c r="N189" s="168" t="s">
        <v>62</v>
      </c>
      <c r="O189" s="78"/>
      <c r="P189" s="72"/>
      <c r="Q189" s="72"/>
      <c r="R189" s="72"/>
      <c r="S189" s="72"/>
      <c r="T189" s="72"/>
      <c r="U189" s="72"/>
      <c r="V189" s="72"/>
    </row>
    <row r="190" spans="1:22" s="7" customFormat="1" x14ac:dyDescent="0.2">
      <c r="A190" s="168" t="s">
        <v>259</v>
      </c>
      <c r="B190" s="168" t="s">
        <v>381</v>
      </c>
      <c r="C190" s="173">
        <v>17.161999999999999</v>
      </c>
      <c r="D190" s="173">
        <v>7.1130000000000004</v>
      </c>
      <c r="E190" s="173">
        <v>10.667</v>
      </c>
      <c r="F190" s="173">
        <v>2.585</v>
      </c>
      <c r="G190" s="173">
        <v>1.5</v>
      </c>
      <c r="H190" s="173">
        <v>1.5</v>
      </c>
      <c r="I190" s="173">
        <v>1.5</v>
      </c>
      <c r="J190" s="174">
        <v>8.2553613026552988</v>
      </c>
      <c r="K190" s="180">
        <v>7</v>
      </c>
      <c r="L190" s="168" t="s">
        <v>149</v>
      </c>
      <c r="M190" s="168" t="s">
        <v>10</v>
      </c>
      <c r="N190" s="168" t="s">
        <v>63</v>
      </c>
      <c r="O190" s="78">
        <v>100</v>
      </c>
      <c r="P190" s="72">
        <f>+$O190/100*C190</f>
        <v>17.161999999999999</v>
      </c>
      <c r="Q190" s="72">
        <f>+$O190/100*D190</f>
        <v>7.1130000000000004</v>
      </c>
      <c r="R190" s="72">
        <f>+$O190/100*E190</f>
        <v>10.667</v>
      </c>
      <c r="S190" s="72">
        <f>+$O190/100*F190</f>
        <v>2.585</v>
      </c>
      <c r="T190" s="72">
        <f>+$O190/100*G190</f>
        <v>1.5</v>
      </c>
      <c r="U190" s="72">
        <f t="shared" ref="U190" si="115">+$O190/100*H190</f>
        <v>1.5</v>
      </c>
      <c r="V190" s="72">
        <f t="shared" ref="V190" si="116">+$O190/100*I190</f>
        <v>1.5</v>
      </c>
    </row>
    <row r="191" spans="1:22" s="7" customFormat="1" x14ac:dyDescent="0.2">
      <c r="A191" s="168" t="s">
        <v>259</v>
      </c>
      <c r="B191" s="168" t="s">
        <v>382</v>
      </c>
      <c r="C191" s="173">
        <v>0</v>
      </c>
      <c r="D191" s="173">
        <v>2</v>
      </c>
      <c r="E191" s="173">
        <v>2</v>
      </c>
      <c r="F191" s="173">
        <v>2</v>
      </c>
      <c r="G191" s="173">
        <v>2</v>
      </c>
      <c r="H191" s="173">
        <v>2</v>
      </c>
      <c r="I191" s="173">
        <v>2</v>
      </c>
      <c r="J191" s="174">
        <v>1.5478318745017901</v>
      </c>
      <c r="K191" s="180">
        <v>7</v>
      </c>
      <c r="L191" s="168" t="s">
        <v>149</v>
      </c>
      <c r="M191" s="168" t="s">
        <v>10</v>
      </c>
      <c r="N191" s="168" t="s">
        <v>63</v>
      </c>
      <c r="O191" s="78"/>
      <c r="P191" s="72"/>
      <c r="Q191" s="72"/>
      <c r="R191" s="72"/>
      <c r="S191" s="72"/>
      <c r="T191" s="72"/>
      <c r="U191" s="72"/>
      <c r="V191" s="72"/>
    </row>
    <row r="192" spans="1:22" s="7" customFormat="1" x14ac:dyDescent="0.2">
      <c r="A192" s="168" t="s">
        <v>259</v>
      </c>
      <c r="B192" s="168" t="s">
        <v>383</v>
      </c>
      <c r="C192" s="173">
        <v>5.1050000000000004</v>
      </c>
      <c r="D192" s="173">
        <v>5.1130000000000004</v>
      </c>
      <c r="E192" s="173">
        <v>5.1130000000000004</v>
      </c>
      <c r="F192" s="173">
        <v>5.1130000000000004</v>
      </c>
      <c r="G192" s="173">
        <v>5.1130000000000004</v>
      </c>
      <c r="H192" s="173">
        <v>5.1130000000000004</v>
      </c>
      <c r="I192" s="173">
        <v>5.1130000000000004</v>
      </c>
      <c r="J192" s="174">
        <v>3.9570321871638301</v>
      </c>
      <c r="K192" s="180">
        <v>7</v>
      </c>
      <c r="L192" s="168" t="s">
        <v>149</v>
      </c>
      <c r="M192" s="168" t="s">
        <v>10</v>
      </c>
      <c r="N192" s="168" t="s">
        <v>62</v>
      </c>
      <c r="O192" s="78">
        <v>100</v>
      </c>
      <c r="P192" s="72">
        <f>+$O192/100*C192</f>
        <v>5.1050000000000004</v>
      </c>
      <c r="Q192" s="72">
        <f>+$O192/100*D192</f>
        <v>5.1130000000000004</v>
      </c>
      <c r="R192" s="72">
        <f>+$O192/100*E192</f>
        <v>5.1130000000000004</v>
      </c>
      <c r="S192" s="72">
        <f>+$O192/100*F192</f>
        <v>5.1130000000000004</v>
      </c>
      <c r="T192" s="72">
        <f>+$O192/100*G192</f>
        <v>5.1130000000000004</v>
      </c>
      <c r="U192" s="72">
        <f t="shared" ref="U192" si="117">+$O192/100*H192</f>
        <v>5.1130000000000004</v>
      </c>
      <c r="V192" s="72">
        <f t="shared" ref="V192" si="118">+$O192/100*I192</f>
        <v>5.1130000000000004</v>
      </c>
    </row>
    <row r="193" spans="1:22" s="7" customFormat="1" x14ac:dyDescent="0.2">
      <c r="A193" s="168" t="s">
        <v>479</v>
      </c>
      <c r="B193" s="168" t="s">
        <v>258</v>
      </c>
      <c r="C193" s="173">
        <v>30.204999999999998</v>
      </c>
      <c r="D193" s="173">
        <v>27.181000000000001</v>
      </c>
      <c r="E193" s="173">
        <v>9.6419999999999995</v>
      </c>
      <c r="F193" s="173">
        <v>0</v>
      </c>
      <c r="G193" s="173">
        <v>0</v>
      </c>
      <c r="H193" s="173">
        <v>0</v>
      </c>
      <c r="I193" s="173">
        <v>0</v>
      </c>
      <c r="J193" s="174">
        <v>11.671286601382299</v>
      </c>
      <c r="K193" s="180">
        <v>7</v>
      </c>
      <c r="L193" s="168" t="s">
        <v>149</v>
      </c>
      <c r="M193" s="168" t="s">
        <v>10</v>
      </c>
      <c r="N193" s="168" t="s">
        <v>63</v>
      </c>
      <c r="O193" s="78"/>
      <c r="P193" s="72"/>
      <c r="Q193" s="72"/>
      <c r="R193" s="72"/>
      <c r="S193" s="72"/>
      <c r="T193" s="72"/>
      <c r="U193" s="72"/>
      <c r="V193" s="72"/>
    </row>
    <row r="194" spans="1:22" s="7" customFormat="1" x14ac:dyDescent="0.2">
      <c r="A194" s="168" t="s">
        <v>248</v>
      </c>
      <c r="B194" s="168" t="s">
        <v>257</v>
      </c>
      <c r="C194" s="173">
        <v>89.611000000000004</v>
      </c>
      <c r="D194" s="173">
        <v>83.784999999999997</v>
      </c>
      <c r="E194" s="173">
        <v>93.611000000000004</v>
      </c>
      <c r="F194" s="173">
        <v>101.73699999999999</v>
      </c>
      <c r="G194" s="173">
        <v>95.4</v>
      </c>
      <c r="H194" s="173">
        <v>101.613</v>
      </c>
      <c r="I194" s="173">
        <v>97.326999999999998</v>
      </c>
      <c r="J194" s="174">
        <v>75.019634242118201</v>
      </c>
      <c r="K194" s="180">
        <v>7</v>
      </c>
      <c r="L194" s="168" t="s">
        <v>149</v>
      </c>
      <c r="M194" s="168" t="s">
        <v>249</v>
      </c>
      <c r="N194" s="168" t="s">
        <v>63</v>
      </c>
      <c r="O194" s="78"/>
      <c r="P194" s="72"/>
      <c r="Q194" s="72"/>
      <c r="R194" s="72"/>
      <c r="S194" s="72"/>
      <c r="T194" s="72"/>
      <c r="U194" s="72"/>
      <c r="V194" s="72"/>
    </row>
    <row r="195" spans="1:22" s="7" customFormat="1" x14ac:dyDescent="0.2">
      <c r="A195" s="168" t="s">
        <v>248</v>
      </c>
      <c r="B195" s="168" t="s">
        <v>257</v>
      </c>
      <c r="C195" s="173">
        <v>5.1870000000000003</v>
      </c>
      <c r="D195" s="173">
        <v>5.9029999999999996</v>
      </c>
      <c r="E195" s="173">
        <v>5.6360000000000001</v>
      </c>
      <c r="F195" s="173">
        <v>5.5270000000000001</v>
      </c>
      <c r="G195" s="173">
        <v>5.0019999999999998</v>
      </c>
      <c r="H195" s="173">
        <v>4.8739999999999997</v>
      </c>
      <c r="I195" s="173">
        <v>4.8739999999999997</v>
      </c>
      <c r="J195" s="174">
        <v>4.5166770848359503</v>
      </c>
      <c r="K195" s="180">
        <v>7</v>
      </c>
      <c r="L195" s="168" t="s">
        <v>149</v>
      </c>
      <c r="M195" s="168" t="s">
        <v>155</v>
      </c>
      <c r="N195" s="168" t="s">
        <v>62</v>
      </c>
      <c r="O195" s="78"/>
      <c r="P195" s="72"/>
      <c r="Q195" s="72"/>
      <c r="R195" s="72"/>
      <c r="S195" s="72"/>
      <c r="T195" s="72"/>
      <c r="U195" s="72"/>
      <c r="V195" s="72"/>
    </row>
    <row r="196" spans="1:22" s="7" customFormat="1" x14ac:dyDescent="0.2">
      <c r="A196" s="168" t="s">
        <v>248</v>
      </c>
      <c r="B196" s="168" t="s">
        <v>384</v>
      </c>
      <c r="C196" s="173">
        <v>15.7</v>
      </c>
      <c r="D196" s="173">
        <v>17.2</v>
      </c>
      <c r="E196" s="173">
        <v>16.399999999999999</v>
      </c>
      <c r="F196" s="173">
        <v>12.7</v>
      </c>
      <c r="G196" s="173">
        <v>9</v>
      </c>
      <c r="H196" s="173">
        <v>7.5</v>
      </c>
      <c r="I196" s="173">
        <v>6.9</v>
      </c>
      <c r="J196" s="174">
        <v>13.142921254668099</v>
      </c>
      <c r="K196" s="180">
        <v>7</v>
      </c>
      <c r="L196" s="168" t="s">
        <v>149</v>
      </c>
      <c r="M196" s="168" t="s">
        <v>249</v>
      </c>
      <c r="N196" s="168" t="s">
        <v>63</v>
      </c>
      <c r="O196" s="78">
        <v>50</v>
      </c>
      <c r="P196" s="72">
        <f>+$O196/100*C196</f>
        <v>7.85</v>
      </c>
      <c r="Q196" s="72">
        <f>+$O196/100*D196</f>
        <v>8.6</v>
      </c>
      <c r="R196" s="72">
        <f>+$O196/100*E196</f>
        <v>8.1999999999999993</v>
      </c>
      <c r="S196" s="72">
        <f>+$O196/100*F196</f>
        <v>6.35</v>
      </c>
      <c r="T196" s="72">
        <f>+$O196/100*G196</f>
        <v>4.5</v>
      </c>
      <c r="U196" s="72">
        <f t="shared" ref="U196" si="119">+$O196/100*H196</f>
        <v>3.75</v>
      </c>
      <c r="V196" s="72">
        <f t="shared" ref="V196" si="120">+$O196/100*I196</f>
        <v>3.45</v>
      </c>
    </row>
    <row r="197" spans="1:22" s="7" customFormat="1" x14ac:dyDescent="0.2">
      <c r="A197" s="168" t="s">
        <v>255</v>
      </c>
      <c r="B197" s="168" t="s">
        <v>256</v>
      </c>
      <c r="C197" s="173">
        <v>0.28000000000000003</v>
      </c>
      <c r="D197" s="173">
        <v>0.25</v>
      </c>
      <c r="E197" s="173">
        <v>0</v>
      </c>
      <c r="F197" s="173">
        <v>0</v>
      </c>
      <c r="G197" s="173">
        <v>0</v>
      </c>
      <c r="H197" s="173">
        <v>0</v>
      </c>
      <c r="I197" s="173">
        <v>0</v>
      </c>
      <c r="J197" s="174">
        <v>0</v>
      </c>
      <c r="K197" s="180">
        <v>7</v>
      </c>
      <c r="L197" s="168" t="s">
        <v>149</v>
      </c>
      <c r="M197" s="168" t="s">
        <v>63</v>
      </c>
      <c r="N197" s="168" t="s">
        <v>63</v>
      </c>
      <c r="O197" s="78"/>
      <c r="P197" s="72"/>
      <c r="Q197" s="72"/>
      <c r="R197" s="72"/>
      <c r="S197" s="72"/>
      <c r="T197" s="72"/>
      <c r="U197" s="72"/>
      <c r="V197" s="72"/>
    </row>
    <row r="198" spans="1:22" s="7" customFormat="1" x14ac:dyDescent="0.2">
      <c r="A198" s="168" t="s">
        <v>255</v>
      </c>
      <c r="B198" s="168" t="s">
        <v>256</v>
      </c>
      <c r="C198" s="173">
        <v>1.8120000000000001</v>
      </c>
      <c r="D198" s="173">
        <v>0.6</v>
      </c>
      <c r="E198" s="173">
        <v>0.53600000000000003</v>
      </c>
      <c r="F198" s="173">
        <v>0</v>
      </c>
      <c r="G198" s="173">
        <v>0</v>
      </c>
      <c r="H198" s="173">
        <v>0</v>
      </c>
      <c r="I198" s="173">
        <v>0</v>
      </c>
      <c r="J198" s="174">
        <v>5.5532532117695803</v>
      </c>
      <c r="K198" s="180">
        <v>7</v>
      </c>
      <c r="L198" s="168" t="s">
        <v>149</v>
      </c>
      <c r="M198" s="168" t="s">
        <v>28</v>
      </c>
      <c r="N198" s="168" t="s">
        <v>63</v>
      </c>
      <c r="O198" s="78"/>
      <c r="P198" s="72"/>
      <c r="Q198" s="72"/>
      <c r="R198" s="72"/>
      <c r="S198" s="72"/>
      <c r="T198" s="72"/>
      <c r="U198" s="72"/>
      <c r="V198" s="72"/>
    </row>
    <row r="199" spans="1:22" s="7" customFormat="1" x14ac:dyDescent="0.2">
      <c r="A199" s="168" t="s">
        <v>328</v>
      </c>
      <c r="B199" s="168" t="s">
        <v>345</v>
      </c>
      <c r="C199" s="173">
        <v>13.9</v>
      </c>
      <c r="D199" s="173">
        <v>13.9</v>
      </c>
      <c r="E199" s="173">
        <v>11.9</v>
      </c>
      <c r="F199" s="173">
        <v>10.9</v>
      </c>
      <c r="G199" s="173">
        <v>10.9</v>
      </c>
      <c r="H199" s="173">
        <v>10.9</v>
      </c>
      <c r="I199" s="173">
        <v>10.9</v>
      </c>
      <c r="J199" s="174">
        <v>53.581881219325503</v>
      </c>
      <c r="K199" s="180" t="s">
        <v>115</v>
      </c>
      <c r="L199" s="168" t="s">
        <v>154</v>
      </c>
      <c r="M199" s="168" t="s">
        <v>45</v>
      </c>
      <c r="N199" s="168" t="s">
        <v>62</v>
      </c>
      <c r="O199" s="78"/>
      <c r="P199" s="72"/>
      <c r="Q199" s="72"/>
      <c r="R199" s="72"/>
      <c r="S199" s="72"/>
      <c r="T199" s="72"/>
      <c r="U199" s="72"/>
      <c r="V199" s="72"/>
    </row>
    <row r="200" spans="1:22" s="7" customFormat="1" x14ac:dyDescent="0.2">
      <c r="A200" s="168" t="s">
        <v>251</v>
      </c>
      <c r="B200" s="168" t="s">
        <v>253</v>
      </c>
      <c r="C200" s="173">
        <v>5.3019999999999996</v>
      </c>
      <c r="D200" s="173">
        <v>5.2140000000000004</v>
      </c>
      <c r="E200" s="173">
        <v>5.6360000000000001</v>
      </c>
      <c r="F200" s="173">
        <v>5.7489999999999997</v>
      </c>
      <c r="G200" s="173">
        <v>5.8639999999999999</v>
      </c>
      <c r="H200" s="173">
        <v>5.9809999999999999</v>
      </c>
      <c r="I200" s="173">
        <v>6.101</v>
      </c>
      <c r="J200" s="174">
        <v>43.6933095588805</v>
      </c>
      <c r="K200" s="180">
        <v>11</v>
      </c>
      <c r="L200" s="168" t="s">
        <v>95</v>
      </c>
      <c r="M200" s="168" t="s">
        <v>254</v>
      </c>
      <c r="N200" s="168" t="s">
        <v>62</v>
      </c>
      <c r="O200" s="78"/>
      <c r="P200" s="72"/>
      <c r="Q200" s="72"/>
      <c r="R200" s="72"/>
      <c r="S200" s="72"/>
      <c r="T200" s="72"/>
      <c r="U200" s="72"/>
      <c r="V200" s="72"/>
    </row>
    <row r="201" spans="1:22" s="7" customFormat="1" x14ac:dyDescent="0.2">
      <c r="A201" s="168" t="s">
        <v>251</v>
      </c>
      <c r="B201" s="168" t="s">
        <v>252</v>
      </c>
      <c r="C201" s="173">
        <v>2.0779999999999998</v>
      </c>
      <c r="D201" s="173">
        <v>3.964</v>
      </c>
      <c r="E201" s="173">
        <v>4.07</v>
      </c>
      <c r="F201" s="173">
        <v>2.9220000000000002</v>
      </c>
      <c r="G201" s="173">
        <v>0.92500000000000004</v>
      </c>
      <c r="H201" s="173">
        <v>0.92500000000000004</v>
      </c>
      <c r="I201" s="173">
        <v>0.92500000000000004</v>
      </c>
      <c r="J201" s="174">
        <v>31.552833552988602</v>
      </c>
      <c r="K201" s="180">
        <v>11</v>
      </c>
      <c r="L201" s="168" t="s">
        <v>95</v>
      </c>
      <c r="M201" s="168" t="s">
        <v>10</v>
      </c>
      <c r="N201" s="168" t="s">
        <v>63</v>
      </c>
      <c r="O201" s="78"/>
      <c r="P201" s="72"/>
      <c r="Q201" s="72"/>
      <c r="R201" s="72"/>
      <c r="S201" s="72"/>
      <c r="T201" s="72"/>
      <c r="U201" s="72"/>
      <c r="V201" s="72"/>
    </row>
    <row r="202" spans="1:22" s="7" customFormat="1" x14ac:dyDescent="0.2">
      <c r="A202" s="168" t="s">
        <v>251</v>
      </c>
      <c r="B202" s="168" t="s">
        <v>252</v>
      </c>
      <c r="C202" s="173">
        <v>5.5E-2</v>
      </c>
      <c r="D202" s="173">
        <v>0.105</v>
      </c>
      <c r="E202" s="173">
        <v>0.108</v>
      </c>
      <c r="F202" s="173">
        <v>7.6999999999999999E-2</v>
      </c>
      <c r="G202" s="173">
        <v>2.4E-2</v>
      </c>
      <c r="H202" s="173">
        <v>2.4E-2</v>
      </c>
      <c r="I202" s="173">
        <v>2.4E-2</v>
      </c>
      <c r="J202" s="174">
        <v>0.83727420730289204</v>
      </c>
      <c r="K202" s="180">
        <v>11</v>
      </c>
      <c r="L202" s="168" t="s">
        <v>95</v>
      </c>
      <c r="M202" s="168" t="s">
        <v>16</v>
      </c>
      <c r="N202" s="168" t="s">
        <v>63</v>
      </c>
      <c r="O202" s="78"/>
      <c r="P202" s="72"/>
      <c r="Q202" s="72"/>
      <c r="R202" s="72"/>
      <c r="S202" s="72"/>
      <c r="T202" s="72"/>
      <c r="U202" s="72"/>
      <c r="V202" s="72"/>
    </row>
    <row r="203" spans="1:22" s="7" customFormat="1" x14ac:dyDescent="0.2">
      <c r="A203" s="168" t="s">
        <v>251</v>
      </c>
      <c r="B203" s="168" t="s">
        <v>252</v>
      </c>
      <c r="C203" s="173">
        <v>0.114</v>
      </c>
      <c r="D203" s="173">
        <v>0.217</v>
      </c>
      <c r="E203" s="173">
        <v>0.223</v>
      </c>
      <c r="F203" s="173">
        <v>0.16</v>
      </c>
      <c r="G203" s="173">
        <v>5.0999999999999997E-2</v>
      </c>
      <c r="H203" s="173">
        <v>5.0999999999999997E-2</v>
      </c>
      <c r="I203" s="173">
        <v>5.0999999999999997E-2</v>
      </c>
      <c r="J203" s="174">
        <v>1.7288161873013401</v>
      </c>
      <c r="K203" s="180">
        <v>11</v>
      </c>
      <c r="L203" s="168" t="s">
        <v>95</v>
      </c>
      <c r="M203" s="168" t="s">
        <v>112</v>
      </c>
      <c r="N203" s="168" t="s">
        <v>63</v>
      </c>
      <c r="O203" s="78"/>
      <c r="P203" s="72"/>
      <c r="Q203" s="72"/>
      <c r="R203" s="72"/>
      <c r="S203" s="72"/>
      <c r="T203" s="72"/>
      <c r="U203" s="72"/>
      <c r="V203" s="72"/>
    </row>
    <row r="204" spans="1:22" s="92" customFormat="1" ht="15" x14ac:dyDescent="0.25">
      <c r="B204" s="92" t="s">
        <v>129</v>
      </c>
      <c r="C204" s="176">
        <f>SUM(C184:C203)</f>
        <v>252.02800000000005</v>
      </c>
      <c r="D204" s="176">
        <f t="shared" ref="D204:I204" si="121">SUM(D184:D203)</f>
        <v>233.03099999999998</v>
      </c>
      <c r="E204" s="176">
        <f t="shared" si="121"/>
        <v>226.971</v>
      </c>
      <c r="F204" s="176">
        <f t="shared" si="121"/>
        <v>205.39299999999997</v>
      </c>
      <c r="G204" s="176">
        <f t="shared" si="121"/>
        <v>188.82500000000002</v>
      </c>
      <c r="H204" s="176">
        <f t="shared" si="121"/>
        <v>197.02699999999999</v>
      </c>
      <c r="I204" s="176">
        <f t="shared" si="121"/>
        <v>192.261</v>
      </c>
      <c r="L204" s="23"/>
      <c r="O204" s="179"/>
      <c r="P204" s="178">
        <f t="shared" ref="P204:V204" si="122">SUM(P184:P203)</f>
        <v>60.667999999999999</v>
      </c>
      <c r="Q204" s="178">
        <f t="shared" si="122"/>
        <v>50.027999999999999</v>
      </c>
      <c r="R204" s="178">
        <f t="shared" si="122"/>
        <v>53.878</v>
      </c>
      <c r="S204" s="178">
        <f t="shared" si="122"/>
        <v>40.448</v>
      </c>
      <c r="T204" s="178">
        <f t="shared" si="122"/>
        <v>37.512999999999998</v>
      </c>
      <c r="U204" s="178">
        <f t="shared" si="122"/>
        <v>36.762999999999998</v>
      </c>
      <c r="V204" s="178">
        <f t="shared" si="122"/>
        <v>36.463000000000001</v>
      </c>
    </row>
    <row r="205" spans="1:22" x14ac:dyDescent="0.2">
      <c r="A205" s="7"/>
      <c r="C205" s="66"/>
      <c r="D205" s="66"/>
      <c r="E205" s="66"/>
      <c r="F205" s="66"/>
      <c r="G205" s="66"/>
      <c r="H205" s="66"/>
      <c r="I205" s="66"/>
    </row>
    <row r="206" spans="1:22" s="1" customFormat="1" ht="15.75" x14ac:dyDescent="0.25">
      <c r="A206" s="34"/>
      <c r="B206" s="35" t="s">
        <v>127</v>
      </c>
      <c r="C206" s="36">
        <f t="shared" ref="C206:I206" si="123">SUM(C8,C17,C25,C34,C69,C77,C105,C177,C181,C204)</f>
        <v>4873.8074220659628</v>
      </c>
      <c r="D206" s="36">
        <f t="shared" si="123"/>
        <v>5020.1699896254459</v>
      </c>
      <c r="E206" s="36">
        <f t="shared" si="123"/>
        <v>4861.4564636530195</v>
      </c>
      <c r="F206" s="36">
        <f t="shared" si="123"/>
        <v>4737.5464205387798</v>
      </c>
      <c r="G206" s="36">
        <f t="shared" si="123"/>
        <v>4660.238686073516</v>
      </c>
      <c r="H206" s="36">
        <f t="shared" si="123"/>
        <v>4657.0521399194604</v>
      </c>
      <c r="I206" s="36">
        <f t="shared" si="123"/>
        <v>4682.248793486594</v>
      </c>
      <c r="J206" s="14"/>
      <c r="K206" s="14"/>
      <c r="L206" s="14"/>
      <c r="M206" s="14"/>
      <c r="N206" s="14"/>
      <c r="O206" s="14"/>
      <c r="P206" s="64">
        <f t="shared" ref="P206:V206" si="124">+P8+P17+P25+P34+P69+P77+P105+P177+P181+P204</f>
        <v>1136.5056414055691</v>
      </c>
      <c r="Q206" s="64">
        <f t="shared" si="124"/>
        <v>1215.9369072818251</v>
      </c>
      <c r="R206" s="64">
        <f t="shared" si="124"/>
        <v>1125.9377888736742</v>
      </c>
      <c r="S206" s="64">
        <f t="shared" si="124"/>
        <v>1097.2325308154623</v>
      </c>
      <c r="T206" s="64">
        <f t="shared" si="124"/>
        <v>1084.3799557068692</v>
      </c>
      <c r="U206" s="64">
        <f t="shared" si="124"/>
        <v>1073.3491261825234</v>
      </c>
      <c r="V206" s="64">
        <f t="shared" si="124"/>
        <v>1092.246922817292</v>
      </c>
    </row>
    <row r="208" spans="1:22" ht="15" x14ac:dyDescent="0.25">
      <c r="B208" s="3" t="s">
        <v>224</v>
      </c>
      <c r="O208" s="152" t="s">
        <v>428</v>
      </c>
    </row>
    <row r="209" spans="1:22" x14ac:dyDescent="0.2">
      <c r="B209" s="23"/>
      <c r="C209" s="1">
        <v>2014</v>
      </c>
      <c r="D209" s="1">
        <v>2015</v>
      </c>
      <c r="E209" s="1">
        <v>2016</v>
      </c>
      <c r="F209" s="1">
        <v>2017</v>
      </c>
      <c r="G209" s="1">
        <v>2018</v>
      </c>
      <c r="H209" s="1">
        <v>2019</v>
      </c>
      <c r="I209" s="1">
        <v>2020</v>
      </c>
      <c r="K209" s="1" t="s">
        <v>518</v>
      </c>
      <c r="L209" s="76" t="s">
        <v>329</v>
      </c>
      <c r="P209" s="1">
        <v>2014</v>
      </c>
      <c r="Q209" s="1">
        <v>2015</v>
      </c>
      <c r="R209" s="1">
        <v>2016</v>
      </c>
      <c r="S209" s="1">
        <v>2017</v>
      </c>
      <c r="T209" s="1">
        <v>2018</v>
      </c>
      <c r="U209" s="1">
        <v>2019</v>
      </c>
      <c r="V209" s="1">
        <v>2020</v>
      </c>
    </row>
    <row r="210" spans="1:22" x14ac:dyDescent="0.2">
      <c r="B210" s="7" t="s">
        <v>212</v>
      </c>
      <c r="C210" s="142">
        <f t="shared" ref="C210:I210" si="125">C8</f>
        <v>0.45200000000000001</v>
      </c>
      <c r="D210" s="142">
        <f t="shared" si="125"/>
        <v>0.68899999999999995</v>
      </c>
      <c r="E210" s="142">
        <f t="shared" si="125"/>
        <v>0.59399999999999997</v>
      </c>
      <c r="F210" s="142">
        <f t="shared" si="125"/>
        <v>0.59399999999999997</v>
      </c>
      <c r="G210" s="142">
        <f t="shared" si="125"/>
        <v>0.59399999999999997</v>
      </c>
      <c r="H210" s="142">
        <f t="shared" si="125"/>
        <v>0.59399999999999997</v>
      </c>
      <c r="I210" s="142">
        <f t="shared" si="125"/>
        <v>0.59399999999999997</v>
      </c>
      <c r="K210" s="82">
        <f t="shared" ref="K210:K220" si="126">+I210-C210</f>
        <v>0.14199999999999996</v>
      </c>
      <c r="L210" s="83">
        <f t="shared" ref="L210:L220" si="127">+(I210-C210)/C210*100</f>
        <v>31.415929203539811</v>
      </c>
      <c r="O210" s="13" t="s">
        <v>232</v>
      </c>
      <c r="P210" s="47">
        <f t="shared" ref="P210:V210" si="128">+P8</f>
        <v>0</v>
      </c>
      <c r="Q210" s="47">
        <f t="shared" si="128"/>
        <v>0</v>
      </c>
      <c r="R210" s="47">
        <f t="shared" si="128"/>
        <v>0</v>
      </c>
      <c r="S210" s="47">
        <f t="shared" si="128"/>
        <v>0</v>
      </c>
      <c r="T210" s="47">
        <f t="shared" si="128"/>
        <v>0</v>
      </c>
      <c r="U210" s="47">
        <f t="shared" si="128"/>
        <v>0</v>
      </c>
      <c r="V210" s="47">
        <f t="shared" si="128"/>
        <v>0</v>
      </c>
    </row>
    <row r="211" spans="1:22" x14ac:dyDescent="0.2">
      <c r="B211" s="7" t="s">
        <v>213</v>
      </c>
      <c r="C211" s="142">
        <f t="shared" ref="C211:I211" si="129">C17</f>
        <v>42.844000000000001</v>
      </c>
      <c r="D211" s="142">
        <f t="shared" si="129"/>
        <v>45.113999999999997</v>
      </c>
      <c r="E211" s="142">
        <f t="shared" si="129"/>
        <v>43.8</v>
      </c>
      <c r="F211" s="142">
        <f t="shared" si="129"/>
        <v>42.701000000000001</v>
      </c>
      <c r="G211" s="142">
        <f t="shared" si="129"/>
        <v>42.701000000000001</v>
      </c>
      <c r="H211" s="142">
        <f t="shared" si="129"/>
        <v>42.701000000000001</v>
      </c>
      <c r="I211" s="142">
        <f t="shared" si="129"/>
        <v>42.701000000000001</v>
      </c>
      <c r="K211" s="82">
        <f t="shared" si="126"/>
        <v>-0.14300000000000068</v>
      </c>
      <c r="L211" s="83">
        <f t="shared" si="127"/>
        <v>-0.33376902250023499</v>
      </c>
      <c r="O211" s="13" t="s">
        <v>233</v>
      </c>
      <c r="P211" s="47">
        <f t="shared" ref="P211:V211" si="130">+P17</f>
        <v>0</v>
      </c>
      <c r="Q211" s="47">
        <f t="shared" si="130"/>
        <v>0</v>
      </c>
      <c r="R211" s="47">
        <f t="shared" si="130"/>
        <v>0</v>
      </c>
      <c r="S211" s="47">
        <f t="shared" si="130"/>
        <v>0</v>
      </c>
      <c r="T211" s="47">
        <f t="shared" si="130"/>
        <v>0</v>
      </c>
      <c r="U211" s="47">
        <f t="shared" si="130"/>
        <v>0</v>
      </c>
      <c r="V211" s="47">
        <f t="shared" si="130"/>
        <v>0</v>
      </c>
    </row>
    <row r="212" spans="1:22" x14ac:dyDescent="0.2">
      <c r="B212" s="7" t="s">
        <v>214</v>
      </c>
      <c r="C212" s="142">
        <f t="shared" ref="C212:I212" si="131">C25</f>
        <v>21.279489256961618</v>
      </c>
      <c r="D212" s="142">
        <f t="shared" si="131"/>
        <v>21.38500910228149</v>
      </c>
      <c r="E212" s="142">
        <f t="shared" si="131"/>
        <v>20.730611092092477</v>
      </c>
      <c r="F212" s="142">
        <f t="shared" si="131"/>
        <v>20.38660101932755</v>
      </c>
      <c r="G212" s="142">
        <f t="shared" si="131"/>
        <v>20.202007133586513</v>
      </c>
      <c r="H212" s="142">
        <f t="shared" si="131"/>
        <v>20.236845228154259</v>
      </c>
      <c r="I212" s="142">
        <f t="shared" si="131"/>
        <v>20.246716021615121</v>
      </c>
      <c r="K212" s="82">
        <f t="shared" si="126"/>
        <v>-1.0327732353464967</v>
      </c>
      <c r="L212" s="83">
        <f t="shared" si="127"/>
        <v>-4.8533741711334697</v>
      </c>
      <c r="O212" s="13" t="s">
        <v>234</v>
      </c>
      <c r="P212" s="47">
        <f t="shared" ref="P212:V212" si="132">+P25</f>
        <v>7.8287914055692953</v>
      </c>
      <c r="Q212" s="47">
        <f t="shared" si="132"/>
        <v>7.626407281825192</v>
      </c>
      <c r="R212" s="47">
        <f t="shared" si="132"/>
        <v>7.3900888736739834</v>
      </c>
      <c r="S212" s="47">
        <f t="shared" si="132"/>
        <v>7.1156808154620412</v>
      </c>
      <c r="T212" s="47">
        <f t="shared" si="132"/>
        <v>6.98480570686921</v>
      </c>
      <c r="U212" s="47">
        <f t="shared" si="132"/>
        <v>7.0126761825234061</v>
      </c>
      <c r="V212" s="47">
        <f t="shared" si="132"/>
        <v>7.0205728172920958</v>
      </c>
    </row>
    <row r="213" spans="1:22" x14ac:dyDescent="0.2">
      <c r="B213" s="7" t="s">
        <v>215</v>
      </c>
      <c r="C213" s="142">
        <f t="shared" ref="C213:I213" si="133">C34</f>
        <v>19.701000000000001</v>
      </c>
      <c r="D213" s="142">
        <f t="shared" si="133"/>
        <v>21.606999999999999</v>
      </c>
      <c r="E213" s="142">
        <f t="shared" si="133"/>
        <v>18.260000000000002</v>
      </c>
      <c r="F213" s="142">
        <f t="shared" si="133"/>
        <v>18.14</v>
      </c>
      <c r="G213" s="142">
        <f t="shared" si="133"/>
        <v>16.088999999999999</v>
      </c>
      <c r="H213" s="142">
        <f t="shared" si="133"/>
        <v>15.923</v>
      </c>
      <c r="I213" s="142">
        <f t="shared" si="133"/>
        <v>17.14</v>
      </c>
      <c r="K213" s="82">
        <f t="shared" si="126"/>
        <v>-2.5609999999999999</v>
      </c>
      <c r="L213" s="83">
        <f t="shared" si="127"/>
        <v>-12.999340135018524</v>
      </c>
      <c r="O213" s="13" t="s">
        <v>235</v>
      </c>
      <c r="P213" s="47">
        <f t="shared" ref="P213:V213" si="134">+P34</f>
        <v>1.6748000000000001</v>
      </c>
      <c r="Q213" s="47">
        <f t="shared" si="134"/>
        <v>1.8004000000000002</v>
      </c>
      <c r="R213" s="47">
        <f t="shared" si="134"/>
        <v>1.5302000000000002</v>
      </c>
      <c r="S213" s="47">
        <f t="shared" si="134"/>
        <v>1.5182</v>
      </c>
      <c r="T213" s="47">
        <f t="shared" si="134"/>
        <v>1.3130999999999999</v>
      </c>
      <c r="U213" s="47">
        <f t="shared" si="134"/>
        <v>1.2965</v>
      </c>
      <c r="V213" s="47">
        <f t="shared" si="134"/>
        <v>1.4181999999999999</v>
      </c>
    </row>
    <row r="214" spans="1:22" x14ac:dyDescent="0.2">
      <c r="B214" s="7" t="s">
        <v>216</v>
      </c>
      <c r="C214" s="142">
        <f>C69</f>
        <v>3501.0410000000006</v>
      </c>
      <c r="D214" s="142">
        <f t="shared" ref="D214:I214" si="135">D69</f>
        <v>3594.5718734261923</v>
      </c>
      <c r="E214" s="142">
        <f t="shared" si="135"/>
        <v>3551.2934253791063</v>
      </c>
      <c r="F214" s="142">
        <f t="shared" si="135"/>
        <v>3522.3499933758449</v>
      </c>
      <c r="G214" s="142">
        <f t="shared" si="135"/>
        <v>3497.9869908350197</v>
      </c>
      <c r="H214" s="142">
        <f t="shared" si="135"/>
        <v>3497.8243063013169</v>
      </c>
      <c r="I214" s="142">
        <f t="shared" si="135"/>
        <v>3509.3539847368038</v>
      </c>
      <c r="K214" s="82">
        <f t="shared" si="126"/>
        <v>8.3129847368031733</v>
      </c>
      <c r="L214" s="83">
        <f t="shared" si="127"/>
        <v>0.23744322722307939</v>
      </c>
      <c r="O214" s="13" t="s">
        <v>236</v>
      </c>
      <c r="P214" s="47">
        <f t="shared" ref="P214:V214" si="136">+P69</f>
        <v>229</v>
      </c>
      <c r="Q214" s="47">
        <f t="shared" si="136"/>
        <v>294</v>
      </c>
      <c r="R214" s="47">
        <f t="shared" si="136"/>
        <v>294</v>
      </c>
      <c r="S214" s="47">
        <f t="shared" si="136"/>
        <v>294</v>
      </c>
      <c r="T214" s="47">
        <f t="shared" si="136"/>
        <v>294</v>
      </c>
      <c r="U214" s="47">
        <f t="shared" si="136"/>
        <v>294</v>
      </c>
      <c r="V214" s="47">
        <f t="shared" si="136"/>
        <v>294</v>
      </c>
    </row>
    <row r="215" spans="1:22" x14ac:dyDescent="0.2">
      <c r="B215" s="7" t="s">
        <v>90</v>
      </c>
      <c r="C215" s="142">
        <f>C77</f>
        <v>59.402999999999999</v>
      </c>
      <c r="D215" s="142">
        <f t="shared" ref="D215:I215" si="137">D77</f>
        <v>61.105000000000004</v>
      </c>
      <c r="E215" s="142">
        <f t="shared" si="137"/>
        <v>57.174999999999997</v>
      </c>
      <c r="F215" s="142">
        <f t="shared" si="137"/>
        <v>56.954000000000008</v>
      </c>
      <c r="G215" s="142">
        <f t="shared" si="137"/>
        <v>56.957000000000001</v>
      </c>
      <c r="H215" s="142">
        <f t="shared" si="137"/>
        <v>56.957000000000001</v>
      </c>
      <c r="I215" s="142">
        <f t="shared" si="137"/>
        <v>56.957000000000001</v>
      </c>
      <c r="K215" s="82">
        <f t="shared" si="126"/>
        <v>-2.445999999999998</v>
      </c>
      <c r="L215" s="83">
        <f t="shared" si="127"/>
        <v>-4.1176371563725702</v>
      </c>
      <c r="O215" s="13" t="s">
        <v>237</v>
      </c>
      <c r="P215" s="47">
        <f t="shared" ref="P215:V215" si="138">+P77</f>
        <v>59.402999999999999</v>
      </c>
      <c r="Q215" s="47">
        <f t="shared" si="138"/>
        <v>61.105000000000004</v>
      </c>
      <c r="R215" s="47">
        <f t="shared" si="138"/>
        <v>57.174999999999997</v>
      </c>
      <c r="S215" s="47">
        <f t="shared" si="138"/>
        <v>56.954000000000008</v>
      </c>
      <c r="T215" s="47">
        <f t="shared" si="138"/>
        <v>56.957000000000001</v>
      </c>
      <c r="U215" s="47">
        <f t="shared" si="138"/>
        <v>56.957000000000001</v>
      </c>
      <c r="V215" s="47">
        <f t="shared" si="138"/>
        <v>56.957000000000001</v>
      </c>
    </row>
    <row r="216" spans="1:22" x14ac:dyDescent="0.2">
      <c r="B216" s="7" t="s">
        <v>217</v>
      </c>
      <c r="C216" s="142">
        <f>C105</f>
        <v>67.877132809000059</v>
      </c>
      <c r="D216" s="142">
        <f t="shared" ref="D216:I216" si="139">D105</f>
        <v>71.105857096971263</v>
      </c>
      <c r="E216" s="142">
        <f t="shared" si="139"/>
        <v>66.021827181819972</v>
      </c>
      <c r="F216" s="142">
        <f t="shared" si="139"/>
        <v>69.300976143608423</v>
      </c>
      <c r="G216" s="142">
        <f t="shared" si="139"/>
        <v>50.722238104910957</v>
      </c>
      <c r="H216" s="142">
        <f t="shared" si="139"/>
        <v>50.392538389989618</v>
      </c>
      <c r="I216" s="142">
        <f t="shared" si="139"/>
        <v>48.753542728175368</v>
      </c>
      <c r="K216" s="82">
        <f t="shared" si="126"/>
        <v>-19.123590080824691</v>
      </c>
      <c r="L216" s="83">
        <f t="shared" si="127"/>
        <v>-28.173833056025941</v>
      </c>
      <c r="O216" s="13" t="s">
        <v>238</v>
      </c>
      <c r="P216" s="47">
        <f t="shared" ref="P216:V216" si="140">+P105</f>
        <v>7.0049999999999999</v>
      </c>
      <c r="Q216" s="47">
        <f t="shared" si="140"/>
        <v>6.6449999999999996</v>
      </c>
      <c r="R216" s="47">
        <f t="shared" si="140"/>
        <v>6.62</v>
      </c>
      <c r="S216" s="47">
        <f t="shared" si="140"/>
        <v>6.62</v>
      </c>
      <c r="T216" s="47">
        <f t="shared" si="140"/>
        <v>6.62</v>
      </c>
      <c r="U216" s="47">
        <f t="shared" si="140"/>
        <v>6.62</v>
      </c>
      <c r="V216" s="47">
        <f t="shared" si="140"/>
        <v>6.62</v>
      </c>
    </row>
    <row r="217" spans="1:22" x14ac:dyDescent="0.2">
      <c r="B217" s="7" t="s">
        <v>218</v>
      </c>
      <c r="C217" s="142">
        <f>C177</f>
        <v>908.58179999999982</v>
      </c>
      <c r="D217" s="142">
        <f t="shared" ref="D217:I217" si="141">D177</f>
        <v>970.76125000000025</v>
      </c>
      <c r="E217" s="142">
        <f t="shared" si="141"/>
        <v>875.51059999999995</v>
      </c>
      <c r="F217" s="142">
        <f t="shared" si="141"/>
        <v>800.82684999999992</v>
      </c>
      <c r="G217" s="142">
        <f t="shared" si="141"/>
        <v>785.26144999999997</v>
      </c>
      <c r="H217" s="142">
        <f t="shared" si="141"/>
        <v>774.49644999999987</v>
      </c>
      <c r="I217" s="142">
        <f t="shared" si="141"/>
        <v>793.34154999999987</v>
      </c>
      <c r="K217" s="82">
        <f t="shared" si="126"/>
        <v>-115.24024999999995</v>
      </c>
      <c r="L217" s="83">
        <f t="shared" si="127"/>
        <v>-12.683530530767836</v>
      </c>
      <c r="O217" s="13" t="s">
        <v>239</v>
      </c>
      <c r="P217" s="47">
        <f t="shared" ref="P217:V217" si="142">+P177</f>
        <v>770.92604999999992</v>
      </c>
      <c r="Q217" s="47">
        <f t="shared" si="142"/>
        <v>794.73210000000006</v>
      </c>
      <c r="R217" s="47">
        <f t="shared" si="142"/>
        <v>705.34450000000015</v>
      </c>
      <c r="S217" s="47">
        <f t="shared" si="142"/>
        <v>690.57665000000009</v>
      </c>
      <c r="T217" s="47">
        <f t="shared" si="142"/>
        <v>680.99205000000006</v>
      </c>
      <c r="U217" s="47">
        <f t="shared" si="142"/>
        <v>670.69994999999994</v>
      </c>
      <c r="V217" s="47">
        <f t="shared" si="142"/>
        <v>689.76814999999988</v>
      </c>
    </row>
    <row r="218" spans="1:22" x14ac:dyDescent="0.2">
      <c r="B218" s="7" t="s">
        <v>219</v>
      </c>
      <c r="C218" s="142">
        <f>C181</f>
        <v>0.6</v>
      </c>
      <c r="D218" s="142">
        <f t="shared" ref="D218:I218" si="143">D181</f>
        <v>0.8</v>
      </c>
      <c r="E218" s="142">
        <f t="shared" si="143"/>
        <v>1.1000000000000001</v>
      </c>
      <c r="F218" s="142">
        <f t="shared" si="143"/>
        <v>0.9</v>
      </c>
      <c r="G218" s="142">
        <f t="shared" si="143"/>
        <v>0.9</v>
      </c>
      <c r="H218" s="142">
        <f t="shared" si="143"/>
        <v>0.9</v>
      </c>
      <c r="I218" s="142">
        <f t="shared" si="143"/>
        <v>0.9</v>
      </c>
      <c r="K218" s="82">
        <f t="shared" si="126"/>
        <v>0.30000000000000004</v>
      </c>
      <c r="L218" s="83">
        <f t="shared" si="127"/>
        <v>50.000000000000014</v>
      </c>
      <c r="O218" s="13" t="s">
        <v>240</v>
      </c>
      <c r="P218" s="47">
        <f t="shared" ref="P218:V218" si="144">+P181</f>
        <v>0</v>
      </c>
      <c r="Q218" s="47">
        <f t="shared" si="144"/>
        <v>0</v>
      </c>
      <c r="R218" s="47">
        <f t="shared" si="144"/>
        <v>0</v>
      </c>
      <c r="S218" s="47">
        <f t="shared" si="144"/>
        <v>0</v>
      </c>
      <c r="T218" s="47">
        <f t="shared" si="144"/>
        <v>0</v>
      </c>
      <c r="U218" s="47">
        <f t="shared" si="144"/>
        <v>0</v>
      </c>
      <c r="V218" s="47">
        <f t="shared" si="144"/>
        <v>0</v>
      </c>
    </row>
    <row r="219" spans="1:22" x14ac:dyDescent="0.2">
      <c r="B219" s="7" t="s">
        <v>220</v>
      </c>
      <c r="C219" s="142">
        <f>C204</f>
        <v>252.02800000000005</v>
      </c>
      <c r="D219" s="142">
        <f t="shared" ref="D219:I219" si="145">D204</f>
        <v>233.03099999999998</v>
      </c>
      <c r="E219" s="142">
        <f t="shared" si="145"/>
        <v>226.971</v>
      </c>
      <c r="F219" s="142">
        <f t="shared" si="145"/>
        <v>205.39299999999997</v>
      </c>
      <c r="G219" s="142">
        <f t="shared" si="145"/>
        <v>188.82500000000002</v>
      </c>
      <c r="H219" s="142">
        <f t="shared" si="145"/>
        <v>197.02699999999999</v>
      </c>
      <c r="I219" s="142">
        <f t="shared" si="145"/>
        <v>192.261</v>
      </c>
      <c r="K219" s="82">
        <f t="shared" si="126"/>
        <v>-59.767000000000053</v>
      </c>
      <c r="L219" s="83">
        <f t="shared" si="127"/>
        <v>-23.714428555557333</v>
      </c>
      <c r="O219" s="13" t="s">
        <v>241</v>
      </c>
      <c r="P219" s="47">
        <f>+P204</f>
        <v>60.667999999999999</v>
      </c>
      <c r="Q219" s="47">
        <f t="shared" ref="Q219:V219" si="146">+Q204</f>
        <v>50.027999999999999</v>
      </c>
      <c r="R219" s="47">
        <f t="shared" si="146"/>
        <v>53.878</v>
      </c>
      <c r="S219" s="47">
        <f t="shared" si="146"/>
        <v>40.448</v>
      </c>
      <c r="T219" s="47">
        <f t="shared" si="146"/>
        <v>37.512999999999998</v>
      </c>
      <c r="U219" s="47">
        <f t="shared" si="146"/>
        <v>36.762999999999998</v>
      </c>
      <c r="V219" s="47">
        <f t="shared" si="146"/>
        <v>36.463000000000001</v>
      </c>
    </row>
    <row r="220" spans="1:22" x14ac:dyDescent="0.2">
      <c r="B220" s="23" t="s">
        <v>87</v>
      </c>
      <c r="C220" s="143">
        <f>SUM(C210:C219)</f>
        <v>4873.8074220659628</v>
      </c>
      <c r="D220" s="143">
        <f t="shared" ref="D220:I220" si="147">SUM(D210:D219)</f>
        <v>5020.1699896254459</v>
      </c>
      <c r="E220" s="143">
        <f t="shared" si="147"/>
        <v>4861.4564636530195</v>
      </c>
      <c r="F220" s="143">
        <f t="shared" si="147"/>
        <v>4737.5464205387798</v>
      </c>
      <c r="G220" s="143">
        <f t="shared" si="147"/>
        <v>4660.238686073516</v>
      </c>
      <c r="H220" s="143">
        <f t="shared" si="147"/>
        <v>4657.0521399194604</v>
      </c>
      <c r="I220" s="143">
        <f t="shared" si="147"/>
        <v>4682.248793486594</v>
      </c>
      <c r="K220" s="82">
        <f t="shared" si="126"/>
        <v>-191.55862857936881</v>
      </c>
      <c r="L220" s="83">
        <f t="shared" si="127"/>
        <v>-3.9303692573509368</v>
      </c>
      <c r="O220" s="13" t="s">
        <v>210</v>
      </c>
      <c r="P220" s="48">
        <f>SUM(P210:P219)</f>
        <v>1136.5056414055691</v>
      </c>
      <c r="Q220" s="48">
        <f t="shared" ref="Q220:V220" si="148">SUM(Q210:Q219)</f>
        <v>1215.9369072818251</v>
      </c>
      <c r="R220" s="48">
        <f t="shared" si="148"/>
        <v>1125.9377888736742</v>
      </c>
      <c r="S220" s="48">
        <f t="shared" si="148"/>
        <v>1097.2325308154623</v>
      </c>
      <c r="T220" s="48">
        <f t="shared" si="148"/>
        <v>1084.3799557068692</v>
      </c>
      <c r="U220" s="48">
        <f t="shared" si="148"/>
        <v>1073.3491261825234</v>
      </c>
      <c r="V220" s="48">
        <f t="shared" si="148"/>
        <v>1092.246922817292</v>
      </c>
    </row>
    <row r="222" spans="1:22" s="41" customFormat="1" ht="15" x14ac:dyDescent="0.25">
      <c r="A222" s="144" t="s">
        <v>539</v>
      </c>
      <c r="C222" s="194"/>
      <c r="K222" s="53"/>
      <c r="L222" s="18"/>
      <c r="O222" s="81"/>
      <c r="P222" s="75"/>
      <c r="Q222" s="75"/>
      <c r="R222" s="75"/>
      <c r="S222" s="75"/>
      <c r="T222" s="75"/>
      <c r="U222" s="75"/>
      <c r="V222" s="75"/>
    </row>
    <row r="227" spans="3:22" x14ac:dyDescent="0.2">
      <c r="C227" s="4" t="s">
        <v>231</v>
      </c>
      <c r="O227" s="4"/>
      <c r="P227" s="4"/>
      <c r="Q227" s="4"/>
      <c r="R227" s="4"/>
      <c r="S227" s="4"/>
      <c r="T227" s="4"/>
      <c r="U227" s="4"/>
      <c r="V227" s="4"/>
    </row>
  </sheetData>
  <sortState ref="A184:N196">
    <sortCondition ref="A184:A196"/>
  </sortState>
  <pageMargins left="0.70866141732283472" right="0.70866141732283472" top="0.74803149606299213" bottom="0.74803149606299213" header="0.31496062992125984" footer="0.31496062992125984"/>
  <pageSetup paperSize="8" scale="95" orientation="landscape" r:id="rId1"/>
  <headerFooter>
    <oddFooter>&amp;L&amp;Z&amp;F
&amp;D</oddFooter>
  </headerFooter>
  <rowBreaks count="2" manualBreakCount="2">
    <brk id="52" max="21" man="1"/>
    <brk id="105" max="21" man="1"/>
  </rowBreaks>
  <colBreaks count="1" manualBreakCount="1">
    <brk id="15"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
  <sheetViews>
    <sheetView workbookViewId="0"/>
  </sheetViews>
  <sheetFormatPr defaultRowHeight="12.75" x14ac:dyDescent="0.2"/>
  <cols>
    <col min="1" max="1" width="9.140625" style="119"/>
    <col min="2" max="2" width="58" style="18" bestFit="1" customWidth="1"/>
    <col min="3" max="3" width="9.5703125" style="18" bestFit="1" customWidth="1"/>
    <col min="4" max="9" width="9.140625" style="18"/>
    <col min="10" max="10" width="12.28515625" style="18" customWidth="1"/>
    <col min="11" max="11" width="15" style="18" bestFit="1" customWidth="1"/>
    <col min="12" max="12" width="47.5703125" style="18" customWidth="1"/>
    <col min="13" max="16384" width="9.140625" style="18"/>
  </cols>
  <sheetData>
    <row r="1" spans="1:22" ht="18.75" x14ac:dyDescent="0.3">
      <c r="A1" s="117" t="s">
        <v>211</v>
      </c>
    </row>
    <row r="2" spans="1:22" ht="15" x14ac:dyDescent="0.25">
      <c r="A2" s="87"/>
      <c r="C2" s="1">
        <v>2014</v>
      </c>
      <c r="D2" s="1">
        <v>2015</v>
      </c>
      <c r="E2" s="1">
        <v>2016</v>
      </c>
      <c r="F2" s="1">
        <v>2017</v>
      </c>
      <c r="G2" s="1">
        <v>2018</v>
      </c>
      <c r="H2" s="1">
        <v>2019</v>
      </c>
      <c r="I2" s="1">
        <v>2020</v>
      </c>
      <c r="J2" s="1" t="s">
        <v>332</v>
      </c>
      <c r="K2" s="1" t="s">
        <v>1</v>
      </c>
      <c r="L2" s="1" t="s">
        <v>331</v>
      </c>
    </row>
    <row r="3" spans="1:22" s="3" customFormat="1" ht="15" x14ac:dyDescent="0.25">
      <c r="A3" s="118"/>
      <c r="B3" s="15" t="s">
        <v>105</v>
      </c>
      <c r="C3" s="64"/>
      <c r="D3" s="64"/>
      <c r="E3" s="64"/>
      <c r="F3" s="64"/>
      <c r="G3" s="64"/>
      <c r="H3" s="64"/>
      <c r="I3" s="64"/>
      <c r="J3" s="15"/>
      <c r="K3" s="15"/>
      <c r="L3" s="15"/>
      <c r="M3" s="92"/>
      <c r="N3" s="92"/>
      <c r="O3" s="77"/>
      <c r="P3" s="6"/>
      <c r="Q3" s="6"/>
      <c r="R3" s="6"/>
      <c r="S3" s="6"/>
      <c r="T3" s="6"/>
      <c r="U3" s="6"/>
      <c r="V3" s="6"/>
    </row>
    <row r="4" spans="1:22" x14ac:dyDescent="0.2">
      <c r="A4" s="8" t="s">
        <v>336</v>
      </c>
      <c r="B4" s="93" t="s">
        <v>335</v>
      </c>
      <c r="C4" s="94">
        <v>1.7090000000000001</v>
      </c>
      <c r="D4" s="95">
        <v>0.36</v>
      </c>
      <c r="E4" s="94">
        <v>0</v>
      </c>
      <c r="F4" s="94">
        <v>0</v>
      </c>
      <c r="G4" s="94">
        <v>0</v>
      </c>
      <c r="H4" s="94">
        <v>0</v>
      </c>
      <c r="I4" s="94">
        <v>0</v>
      </c>
      <c r="J4" s="18">
        <v>100</v>
      </c>
    </row>
    <row r="5" spans="1:22" s="42" customFormat="1" ht="15" x14ac:dyDescent="0.25">
      <c r="A5" s="87"/>
      <c r="B5" s="3" t="s">
        <v>106</v>
      </c>
      <c r="C5" s="96">
        <f>SUM(C4)</f>
        <v>1.7090000000000001</v>
      </c>
      <c r="D5" s="96">
        <f t="shared" ref="D5:I5" si="0">SUM(D4)</f>
        <v>0.36</v>
      </c>
      <c r="E5" s="96">
        <f t="shared" si="0"/>
        <v>0</v>
      </c>
      <c r="F5" s="96">
        <f t="shared" si="0"/>
        <v>0</v>
      </c>
      <c r="G5" s="96">
        <f t="shared" si="0"/>
        <v>0</v>
      </c>
      <c r="H5" s="96">
        <f t="shared" si="0"/>
        <v>0</v>
      </c>
      <c r="I5" s="96">
        <f t="shared" si="0"/>
        <v>0</v>
      </c>
    </row>
    <row r="6" spans="1:22" s="42" customFormat="1" ht="15" x14ac:dyDescent="0.25">
      <c r="A6" s="87"/>
      <c r="B6" s="3"/>
      <c r="C6" s="96"/>
      <c r="D6" s="96"/>
      <c r="E6" s="96"/>
      <c r="F6" s="96"/>
      <c r="G6" s="96"/>
      <c r="H6" s="96"/>
      <c r="I6" s="96"/>
    </row>
    <row r="7" spans="1:22" s="42" customFormat="1" ht="15" x14ac:dyDescent="0.25">
      <c r="A7" s="14"/>
      <c r="B7" s="15" t="s">
        <v>68</v>
      </c>
      <c r="C7" s="65"/>
      <c r="D7" s="65"/>
      <c r="E7" s="65"/>
      <c r="F7" s="65"/>
      <c r="G7" s="65"/>
      <c r="H7" s="65"/>
      <c r="I7" s="65"/>
      <c r="J7" s="14"/>
      <c r="K7" s="14"/>
      <c r="L7" s="14"/>
      <c r="M7" s="23"/>
      <c r="N7" s="23"/>
      <c r="O7" s="23"/>
    </row>
    <row r="8" spans="1:22" s="3" customFormat="1" ht="76.5" x14ac:dyDescent="0.25">
      <c r="A8" s="38">
        <v>4</v>
      </c>
      <c r="B8" s="38" t="s">
        <v>481</v>
      </c>
      <c r="C8" s="74">
        <v>0</v>
      </c>
      <c r="D8" s="74">
        <v>0</v>
      </c>
      <c r="E8" s="74">
        <v>1.8</v>
      </c>
      <c r="F8" s="74">
        <v>1.3</v>
      </c>
      <c r="G8" s="74">
        <v>0</v>
      </c>
      <c r="H8" s="74">
        <v>0</v>
      </c>
      <c r="I8" s="74">
        <v>0</v>
      </c>
      <c r="J8" s="2">
        <v>100</v>
      </c>
      <c r="K8" s="2"/>
      <c r="L8" s="189" t="s">
        <v>482</v>
      </c>
    </row>
    <row r="9" spans="1:22" s="3" customFormat="1" ht="15" x14ac:dyDescent="0.25">
      <c r="A9" s="38">
        <v>4</v>
      </c>
      <c r="B9" s="38" t="s">
        <v>483</v>
      </c>
      <c r="C9" s="74">
        <v>3.5</v>
      </c>
      <c r="D9" s="74">
        <v>0</v>
      </c>
      <c r="E9" s="74">
        <v>0</v>
      </c>
      <c r="F9" s="74">
        <v>0</v>
      </c>
      <c r="G9" s="74">
        <v>0</v>
      </c>
      <c r="H9" s="74">
        <v>0</v>
      </c>
      <c r="I9" s="74">
        <v>0</v>
      </c>
      <c r="J9" s="2">
        <v>100</v>
      </c>
      <c r="K9" s="2"/>
      <c r="L9" s="2" t="s">
        <v>484</v>
      </c>
    </row>
    <row r="10" spans="1:22" s="3" customFormat="1" ht="89.25" x14ac:dyDescent="0.25">
      <c r="A10" s="38">
        <v>4</v>
      </c>
      <c r="B10" s="38" t="s">
        <v>485</v>
      </c>
      <c r="C10" s="74">
        <v>3.5750000000000002</v>
      </c>
      <c r="D10" s="74">
        <v>14.76</v>
      </c>
      <c r="E10" s="74">
        <v>18.41</v>
      </c>
      <c r="F10" s="74">
        <v>23.41</v>
      </c>
      <c r="G10" s="74">
        <v>43.945</v>
      </c>
      <c r="H10" s="74">
        <v>36.700000000000003</v>
      </c>
      <c r="I10" s="74">
        <v>29.655999999999999</v>
      </c>
      <c r="J10" s="2">
        <v>100</v>
      </c>
      <c r="K10" s="2"/>
      <c r="L10" s="190" t="s">
        <v>536</v>
      </c>
    </row>
    <row r="11" spans="1:22" s="3" customFormat="1" ht="15" x14ac:dyDescent="0.25">
      <c r="A11" s="87"/>
      <c r="B11" s="3" t="s">
        <v>104</v>
      </c>
      <c r="C11" s="6">
        <f t="shared" ref="C11:I11" si="1">SUM(C8:C10)</f>
        <v>7.0750000000000002</v>
      </c>
      <c r="D11" s="6">
        <f t="shared" si="1"/>
        <v>14.76</v>
      </c>
      <c r="E11" s="6">
        <f t="shared" si="1"/>
        <v>20.21</v>
      </c>
      <c r="F11" s="6">
        <f t="shared" si="1"/>
        <v>24.71</v>
      </c>
      <c r="G11" s="6">
        <f t="shared" si="1"/>
        <v>43.945</v>
      </c>
      <c r="H11" s="6">
        <f t="shared" si="1"/>
        <v>36.700000000000003</v>
      </c>
      <c r="I11" s="6">
        <f t="shared" si="1"/>
        <v>29.655999999999999</v>
      </c>
    </row>
    <row r="12" spans="1:22" s="4" customFormat="1" x14ac:dyDescent="0.2">
      <c r="A12" s="8"/>
    </row>
    <row r="13" spans="1:22" ht="15" x14ac:dyDescent="0.25">
      <c r="A13" s="118"/>
      <c r="B13" s="29" t="s">
        <v>123</v>
      </c>
      <c r="C13" s="15"/>
      <c r="D13" s="30"/>
      <c r="E13" s="30"/>
      <c r="F13" s="30"/>
      <c r="G13" s="30"/>
      <c r="H13" s="30"/>
      <c r="I13" s="30"/>
      <c r="J13" s="30"/>
      <c r="K13" s="29"/>
      <c r="L13" s="31"/>
      <c r="M13" s="37"/>
      <c r="N13" s="37"/>
    </row>
    <row r="14" spans="1:22" s="182" customFormat="1" x14ac:dyDescent="0.2">
      <c r="A14" s="120" t="s">
        <v>486</v>
      </c>
      <c r="B14" s="38" t="s">
        <v>204</v>
      </c>
      <c r="C14" s="39">
        <v>2.13</v>
      </c>
      <c r="D14" s="39">
        <v>1.302</v>
      </c>
      <c r="E14" s="39">
        <v>0.6</v>
      </c>
      <c r="F14" s="39">
        <v>0</v>
      </c>
      <c r="G14" s="39">
        <v>0.96899999999999997</v>
      </c>
      <c r="H14" s="39">
        <v>0</v>
      </c>
      <c r="I14" s="39">
        <v>0</v>
      </c>
      <c r="J14" s="181">
        <v>100</v>
      </c>
    </row>
    <row r="15" spans="1:22" s="182" customFormat="1" x14ac:dyDescent="0.2">
      <c r="A15" s="120" t="s">
        <v>207</v>
      </c>
      <c r="B15" s="38" t="s">
        <v>205</v>
      </c>
      <c r="C15" s="39">
        <v>4.7220000000000004</v>
      </c>
      <c r="D15" s="39">
        <v>25.562000000000001</v>
      </c>
      <c r="E15" s="39">
        <v>-13.788</v>
      </c>
      <c r="F15" s="39">
        <v>4.6790000000000003</v>
      </c>
      <c r="G15" s="40">
        <v>4.2720000000000002</v>
      </c>
      <c r="H15" s="40">
        <v>0</v>
      </c>
      <c r="I15" s="40">
        <v>0</v>
      </c>
      <c r="J15" s="181">
        <v>100</v>
      </c>
    </row>
    <row r="16" spans="1:22" s="182" customFormat="1" x14ac:dyDescent="0.2">
      <c r="A16" s="120" t="s">
        <v>203</v>
      </c>
      <c r="B16" s="38" t="s">
        <v>206</v>
      </c>
      <c r="C16" s="39">
        <v>1.026</v>
      </c>
      <c r="D16" s="39">
        <v>0.1</v>
      </c>
      <c r="E16" s="39">
        <v>0</v>
      </c>
      <c r="F16" s="39">
        <v>0</v>
      </c>
      <c r="G16" s="40">
        <v>0</v>
      </c>
      <c r="H16" s="40">
        <v>0</v>
      </c>
      <c r="I16" s="40">
        <v>0</v>
      </c>
      <c r="J16" s="181">
        <v>100</v>
      </c>
    </row>
    <row r="17" spans="1:12" s="182" customFormat="1" x14ac:dyDescent="0.2">
      <c r="A17" s="120" t="s">
        <v>487</v>
      </c>
      <c r="B17" s="38" t="s">
        <v>488</v>
      </c>
      <c r="C17" s="39">
        <v>0.17821275</v>
      </c>
      <c r="D17" s="39">
        <v>1.556</v>
      </c>
      <c r="E17" s="39">
        <v>0</v>
      </c>
      <c r="F17" s="39">
        <v>0</v>
      </c>
      <c r="G17" s="40">
        <v>0</v>
      </c>
      <c r="H17" s="40">
        <v>0</v>
      </c>
      <c r="I17" s="40">
        <v>0</v>
      </c>
      <c r="J17" s="181">
        <v>0</v>
      </c>
    </row>
    <row r="18" spans="1:12" s="182" customFormat="1" x14ac:dyDescent="0.2">
      <c r="A18" s="120" t="s">
        <v>489</v>
      </c>
      <c r="B18" s="38" t="str">
        <f>[1]format!$B$96</f>
        <v>Opdrachten KDC</v>
      </c>
      <c r="C18" s="39">
        <v>0.80900000000000005</v>
      </c>
      <c r="D18" s="39">
        <v>0.71099999999999997</v>
      </c>
      <c r="E18" s="39">
        <v>0.7</v>
      </c>
      <c r="F18" s="39">
        <v>0.7</v>
      </c>
      <c r="G18" s="39">
        <v>0.7</v>
      </c>
      <c r="H18" s="39">
        <v>0.7</v>
      </c>
      <c r="I18" s="39">
        <v>0.7</v>
      </c>
      <c r="J18" s="181"/>
      <c r="K18" s="182" t="s">
        <v>184</v>
      </c>
    </row>
    <row r="19" spans="1:12" s="182" customFormat="1" x14ac:dyDescent="0.2">
      <c r="A19" s="120" t="s">
        <v>489</v>
      </c>
      <c r="B19" s="38" t="str">
        <f>[1]format!$B$98</f>
        <v>KLM Corporate Biofuel Programme</v>
      </c>
      <c r="C19" s="39">
        <v>0</v>
      </c>
      <c r="D19" s="39">
        <v>0.2</v>
      </c>
      <c r="E19" s="39">
        <v>0.2</v>
      </c>
      <c r="F19" s="39">
        <v>0.2</v>
      </c>
      <c r="G19" s="39">
        <v>0</v>
      </c>
      <c r="H19" s="39">
        <v>0</v>
      </c>
      <c r="I19" s="39">
        <v>0</v>
      </c>
      <c r="J19" s="181"/>
      <c r="K19" s="182" t="s">
        <v>491</v>
      </c>
    </row>
    <row r="20" spans="1:12" s="182" customFormat="1" x14ac:dyDescent="0.2">
      <c r="A20" s="120" t="s">
        <v>490</v>
      </c>
      <c r="B20" s="38" t="str">
        <f>[1]format!$B$100</f>
        <v>topsector logistiek - opdrachten</v>
      </c>
      <c r="C20" s="39">
        <v>0.19500000000000001</v>
      </c>
      <c r="D20" s="39">
        <v>6.7309999999999999</v>
      </c>
      <c r="E20" s="39">
        <v>16.013000000000002</v>
      </c>
      <c r="F20" s="39">
        <v>16.035</v>
      </c>
      <c r="G20" s="39">
        <v>5.6050000000000004</v>
      </c>
      <c r="H20" s="39">
        <v>4.2389999999999999</v>
      </c>
      <c r="I20" s="39">
        <v>4.0609999999999999</v>
      </c>
      <c r="J20" s="181"/>
      <c r="K20" s="182" t="s">
        <v>492</v>
      </c>
      <c r="L20" s="182" t="s">
        <v>495</v>
      </c>
    </row>
    <row r="21" spans="1:12" s="182" customFormat="1" x14ac:dyDescent="0.2">
      <c r="A21" s="120" t="s">
        <v>490</v>
      </c>
      <c r="B21" s="38" t="str">
        <f>[1]format!$B$102</f>
        <v>topsector logistiek - subsidies</v>
      </c>
      <c r="C21" s="39">
        <v>0</v>
      </c>
      <c r="D21" s="39">
        <v>1.75</v>
      </c>
      <c r="E21" s="39">
        <v>4.3369999999999997</v>
      </c>
      <c r="F21" s="39">
        <v>7.7749999999999986</v>
      </c>
      <c r="G21" s="40">
        <v>4.4949999999999992</v>
      </c>
      <c r="H21" s="40">
        <v>2</v>
      </c>
      <c r="I21" s="40">
        <v>0</v>
      </c>
      <c r="K21" s="182" t="s">
        <v>493</v>
      </c>
      <c r="L21" s="182" t="s">
        <v>495</v>
      </c>
    </row>
    <row r="22" spans="1:12" s="182" customFormat="1" x14ac:dyDescent="0.2">
      <c r="A22" s="120" t="s">
        <v>490</v>
      </c>
      <c r="B22" s="38" t="str">
        <f>[1]format!$B$104</f>
        <v>subsidieregeling innovaties duurzame binnenvaart</v>
      </c>
      <c r="C22" s="39">
        <v>0.25</v>
      </c>
      <c r="D22" s="39">
        <v>0.25</v>
      </c>
      <c r="E22" s="39">
        <v>0.25</v>
      </c>
      <c r="F22" s="39">
        <v>0.25</v>
      </c>
      <c r="G22" s="40">
        <v>0.25</v>
      </c>
      <c r="H22" s="40">
        <v>0.25</v>
      </c>
      <c r="I22" s="40">
        <v>0.25</v>
      </c>
      <c r="K22" s="182" t="s">
        <v>494</v>
      </c>
      <c r="L22" s="182" t="s">
        <v>276</v>
      </c>
    </row>
    <row r="23" spans="1:12" s="185" customFormat="1" ht="15" x14ac:dyDescent="0.25">
      <c r="A23" s="183"/>
      <c r="B23" s="92" t="s">
        <v>124</v>
      </c>
      <c r="C23" s="184">
        <f t="shared" ref="C23:I23" si="2">SUM(C14:C22)</f>
        <v>9.3102127499999998</v>
      </c>
      <c r="D23" s="184">
        <f t="shared" si="2"/>
        <v>38.161999999999999</v>
      </c>
      <c r="E23" s="184">
        <f t="shared" si="2"/>
        <v>8.3119999999999994</v>
      </c>
      <c r="F23" s="184">
        <f t="shared" si="2"/>
        <v>29.638999999999999</v>
      </c>
      <c r="G23" s="184">
        <f t="shared" si="2"/>
        <v>16.291</v>
      </c>
      <c r="H23" s="184">
        <f t="shared" si="2"/>
        <v>7.1890000000000001</v>
      </c>
      <c r="I23" s="184">
        <f t="shared" si="2"/>
        <v>5.0110000000000001</v>
      </c>
    </row>
    <row r="25" spans="1:12" s="4" customFormat="1" ht="15" x14ac:dyDescent="0.25">
      <c r="A25" s="121"/>
      <c r="B25" s="15" t="s">
        <v>3</v>
      </c>
      <c r="C25" s="17"/>
      <c r="D25" s="17"/>
      <c r="E25" s="17"/>
      <c r="F25" s="17"/>
      <c r="G25" s="17"/>
      <c r="H25" s="17"/>
      <c r="I25" s="17"/>
      <c r="J25" s="17"/>
      <c r="K25" s="17"/>
      <c r="L25" s="17"/>
    </row>
    <row r="26" spans="1:12" s="7" customFormat="1" x14ac:dyDescent="0.2">
      <c r="A26" s="38" t="s">
        <v>60</v>
      </c>
      <c r="B26" s="38" t="s">
        <v>388</v>
      </c>
      <c r="C26" s="72">
        <v>2.6859999999999999</v>
      </c>
      <c r="D26" s="72">
        <v>3.7134</v>
      </c>
      <c r="E26" s="72">
        <v>4.0158000000000005</v>
      </c>
      <c r="F26" s="72">
        <v>4.0834000000000001</v>
      </c>
      <c r="G26" s="72">
        <v>5.6556000000000006</v>
      </c>
      <c r="H26" s="72">
        <v>5.2948000000000004</v>
      </c>
      <c r="I26" s="72">
        <v>5.4550000000000001</v>
      </c>
      <c r="J26" s="7">
        <v>20</v>
      </c>
      <c r="K26" s="7" t="s">
        <v>16</v>
      </c>
    </row>
    <row r="27" spans="1:12" s="7" customFormat="1" x14ac:dyDescent="0.2">
      <c r="A27" s="38" t="s">
        <v>59</v>
      </c>
      <c r="B27" s="38" t="s">
        <v>389</v>
      </c>
      <c r="C27" s="72">
        <v>1.6398000000000001</v>
      </c>
      <c r="D27" s="72">
        <v>4.5662000000000003</v>
      </c>
      <c r="E27" s="72">
        <v>3.4022000000000001</v>
      </c>
      <c r="F27" s="72">
        <v>3.1103000000000001</v>
      </c>
      <c r="G27" s="72">
        <v>2.9153000000000002</v>
      </c>
      <c r="H27" s="72">
        <v>2.8289</v>
      </c>
      <c r="I27" s="72">
        <v>3.4718</v>
      </c>
      <c r="J27" s="7">
        <v>10</v>
      </c>
      <c r="K27" s="7" t="s">
        <v>19</v>
      </c>
    </row>
    <row r="28" spans="1:12" s="7" customFormat="1" x14ac:dyDescent="0.2">
      <c r="A28" s="38" t="s">
        <v>17</v>
      </c>
      <c r="B28" s="38" t="s">
        <v>390</v>
      </c>
      <c r="C28" s="72">
        <v>2.4</v>
      </c>
      <c r="D28" s="72">
        <v>6.48</v>
      </c>
      <c r="E28" s="72">
        <v>7.34</v>
      </c>
      <c r="F28" s="72">
        <v>6.52</v>
      </c>
      <c r="G28" s="72">
        <v>5.2784000000000004</v>
      </c>
      <c r="H28" s="72">
        <v>4.6784000000000008</v>
      </c>
      <c r="I28" s="72">
        <v>4.878400000000001</v>
      </c>
      <c r="J28" s="7">
        <v>20</v>
      </c>
      <c r="K28" s="7" t="s">
        <v>16</v>
      </c>
    </row>
    <row r="29" spans="1:12" s="7" customFormat="1" x14ac:dyDescent="0.2">
      <c r="A29" s="38" t="s">
        <v>409</v>
      </c>
      <c r="B29" s="38" t="s">
        <v>410</v>
      </c>
      <c r="C29" s="72">
        <v>0.22540000000000002</v>
      </c>
      <c r="D29" s="72">
        <v>0.3</v>
      </c>
      <c r="E29" s="72">
        <v>0.6</v>
      </c>
      <c r="F29" s="72">
        <v>0.3</v>
      </c>
      <c r="G29" s="72">
        <v>0</v>
      </c>
      <c r="H29" s="72">
        <v>0</v>
      </c>
      <c r="I29" s="72">
        <v>0</v>
      </c>
      <c r="J29" s="7">
        <v>20</v>
      </c>
      <c r="K29" s="7" t="s">
        <v>16</v>
      </c>
    </row>
    <row r="30" spans="1:12" s="7" customFormat="1" x14ac:dyDescent="0.2">
      <c r="A30" s="38" t="s">
        <v>502</v>
      </c>
      <c r="B30" s="38" t="s">
        <v>503</v>
      </c>
      <c r="C30" s="72">
        <v>0.19750000000000001</v>
      </c>
      <c r="D30" s="72">
        <v>6.4344999999999999</v>
      </c>
      <c r="E30" s="72">
        <v>5.8070000000000004</v>
      </c>
      <c r="F30" s="72">
        <v>5.8070000000000004</v>
      </c>
      <c r="G30" s="72">
        <v>11.058</v>
      </c>
      <c r="H30" s="72">
        <v>8.0574999999999992</v>
      </c>
      <c r="I30" s="72">
        <v>8.0574999999999992</v>
      </c>
      <c r="J30" s="7">
        <v>50</v>
      </c>
      <c r="K30" s="7" t="s">
        <v>16</v>
      </c>
    </row>
    <row r="31" spans="1:12" s="7" customFormat="1" x14ac:dyDescent="0.2">
      <c r="A31" s="38" t="s">
        <v>27</v>
      </c>
      <c r="B31" s="38" t="s">
        <v>497</v>
      </c>
      <c r="C31" s="72">
        <v>0.40560000000000002</v>
      </c>
      <c r="D31" s="72">
        <v>1.2007999999999999</v>
      </c>
      <c r="E31" s="72">
        <v>0.8</v>
      </c>
      <c r="F31" s="72">
        <v>0.2</v>
      </c>
      <c r="G31" s="72">
        <v>0</v>
      </c>
      <c r="H31" s="72">
        <v>0</v>
      </c>
      <c r="I31" s="72">
        <v>0</v>
      </c>
      <c r="J31" s="78">
        <v>80</v>
      </c>
      <c r="K31" s="7" t="s">
        <v>31</v>
      </c>
    </row>
    <row r="32" spans="1:12" s="7" customFormat="1" x14ac:dyDescent="0.2">
      <c r="A32" s="38" t="s">
        <v>27</v>
      </c>
      <c r="B32" s="38" t="s">
        <v>496</v>
      </c>
      <c r="C32" s="72">
        <v>0.74909999999999999</v>
      </c>
      <c r="D32" s="72">
        <v>0</v>
      </c>
      <c r="E32" s="72">
        <v>0</v>
      </c>
      <c r="F32" s="72">
        <v>0</v>
      </c>
      <c r="G32" s="72">
        <v>0</v>
      </c>
      <c r="H32" s="72">
        <v>0</v>
      </c>
      <c r="I32" s="72">
        <v>0</v>
      </c>
      <c r="J32" s="78">
        <v>30</v>
      </c>
      <c r="K32" s="7" t="s">
        <v>112</v>
      </c>
    </row>
    <row r="33" spans="1:11" s="7" customFormat="1" x14ac:dyDescent="0.2">
      <c r="A33" s="38"/>
      <c r="B33" s="38"/>
      <c r="C33" s="72"/>
      <c r="D33" s="72"/>
      <c r="E33" s="72"/>
      <c r="F33" s="72"/>
      <c r="G33" s="72"/>
      <c r="H33" s="72"/>
      <c r="I33" s="72"/>
    </row>
    <row r="34" spans="1:11" s="7" customFormat="1" x14ac:dyDescent="0.2">
      <c r="A34" s="38" t="s">
        <v>411</v>
      </c>
      <c r="B34" s="38" t="s">
        <v>499</v>
      </c>
      <c r="C34" s="72">
        <v>1.9810000000000001</v>
      </c>
      <c r="D34" s="72">
        <v>2</v>
      </c>
      <c r="E34" s="72">
        <v>1</v>
      </c>
      <c r="F34" s="72">
        <v>0</v>
      </c>
      <c r="G34" s="72">
        <v>0</v>
      </c>
      <c r="H34" s="72">
        <v>0</v>
      </c>
      <c r="I34" s="72">
        <v>0</v>
      </c>
      <c r="J34" s="7">
        <v>100</v>
      </c>
      <c r="K34" s="7" t="s">
        <v>16</v>
      </c>
    </row>
    <row r="35" spans="1:11" s="7" customFormat="1" x14ac:dyDescent="0.2">
      <c r="A35" s="38" t="s">
        <v>411</v>
      </c>
      <c r="B35" s="38" t="s">
        <v>498</v>
      </c>
      <c r="C35" s="72">
        <v>4.9607999999999999</v>
      </c>
      <c r="D35" s="72">
        <v>4.6147999999999998</v>
      </c>
      <c r="E35" s="72">
        <v>7.2444000000000006</v>
      </c>
      <c r="F35" s="72">
        <v>6.7080000000000002</v>
      </c>
      <c r="G35" s="72">
        <v>6.4272000000000009</v>
      </c>
      <c r="H35" s="72">
        <v>6.4272000000000009</v>
      </c>
      <c r="I35" s="72">
        <v>6.4272000000000009</v>
      </c>
      <c r="J35" s="7">
        <v>40</v>
      </c>
      <c r="K35" s="7" t="s">
        <v>35</v>
      </c>
    </row>
    <row r="36" spans="1:11" s="7" customFormat="1" x14ac:dyDescent="0.2">
      <c r="A36" s="38" t="s">
        <v>61</v>
      </c>
      <c r="B36" s="38" t="s">
        <v>412</v>
      </c>
      <c r="C36" s="72">
        <v>27.17475</v>
      </c>
      <c r="D36" s="72">
        <v>19.55461</v>
      </c>
      <c r="E36" s="72">
        <v>21.562720000000002</v>
      </c>
      <c r="F36" s="72">
        <v>21.16771</v>
      </c>
      <c r="G36" s="72">
        <v>21.01362</v>
      </c>
      <c r="H36" s="72">
        <v>21.01362</v>
      </c>
      <c r="I36" s="72">
        <v>21.01362</v>
      </c>
      <c r="J36" s="7">
        <v>19</v>
      </c>
      <c r="K36" s="7" t="s">
        <v>12</v>
      </c>
    </row>
    <row r="37" spans="1:11" s="7" customFormat="1" x14ac:dyDescent="0.2">
      <c r="A37" s="38"/>
      <c r="B37" s="38"/>
      <c r="C37" s="72"/>
      <c r="D37" s="72"/>
      <c r="E37" s="72"/>
      <c r="F37" s="72"/>
      <c r="G37" s="72"/>
      <c r="H37" s="72"/>
      <c r="I37" s="72"/>
    </row>
    <row r="38" spans="1:11" s="7" customFormat="1" x14ac:dyDescent="0.2">
      <c r="A38" s="112">
        <v>14</v>
      </c>
      <c r="B38" s="38" t="s">
        <v>413</v>
      </c>
      <c r="C38" s="72">
        <v>26.195250000000001</v>
      </c>
      <c r="D38" s="72">
        <v>50.896500000000003</v>
      </c>
      <c r="E38" s="72">
        <v>41.88</v>
      </c>
      <c r="F38" s="72">
        <v>40.265999999999998</v>
      </c>
      <c r="G38" s="72">
        <v>33.067500000000003</v>
      </c>
      <c r="H38" s="72">
        <v>31.1175</v>
      </c>
      <c r="I38" s="72">
        <v>27.3675</v>
      </c>
      <c r="J38" s="7">
        <v>75</v>
      </c>
      <c r="K38" s="7" t="s">
        <v>40</v>
      </c>
    </row>
    <row r="39" spans="1:11" s="7" customFormat="1" x14ac:dyDescent="0.2">
      <c r="A39" s="112">
        <v>14</v>
      </c>
      <c r="B39" s="38" t="s">
        <v>414</v>
      </c>
      <c r="C39" s="72">
        <f>('[2]Cat C'!J23+'[2]Cat C'!J29)/1000</f>
        <v>0.40275</v>
      </c>
      <c r="D39" s="72">
        <f>('[2]Cat C'!K23+'[2]Cat C'!K29)/1000</f>
        <v>0.1575</v>
      </c>
      <c r="E39" s="72">
        <f>('[2]Cat C'!L23+'[2]Cat C'!L29)/1000</f>
        <v>0</v>
      </c>
      <c r="F39" s="72">
        <f>('[2]Cat C'!M23+'[2]Cat C'!M29)/1000</f>
        <v>0</v>
      </c>
      <c r="G39" s="72">
        <f>('[2]Cat C'!N23+'[2]Cat C'!N29)/1000</f>
        <v>0</v>
      </c>
      <c r="H39" s="72">
        <f>('[2]Cat C'!O23+'[2]Cat C'!O29)/1000</f>
        <v>0</v>
      </c>
      <c r="I39" s="72">
        <f>('[2]Cat C'!P23+'[2]Cat C'!P29)/1000</f>
        <v>0</v>
      </c>
      <c r="J39" s="7">
        <v>75</v>
      </c>
      <c r="K39" s="7" t="s">
        <v>16</v>
      </c>
    </row>
    <row r="40" spans="1:11" s="7" customFormat="1" x14ac:dyDescent="0.2">
      <c r="A40" s="112">
        <v>14</v>
      </c>
      <c r="B40" s="38" t="s">
        <v>414</v>
      </c>
      <c r="C40" s="72">
        <f>SUM('[2]Cat C'!J24:J28,'[2]Cat C'!J22)/1000</f>
        <v>11.603999999999999</v>
      </c>
      <c r="D40" s="72">
        <f>SUM('[2]Cat C'!K24:K28,'[2]Cat C'!K22)/1000</f>
        <v>5.7539999999999996</v>
      </c>
      <c r="E40" s="72">
        <f>SUM('[2]Cat C'!L24:L28,'[2]Cat C'!L22)/1000</f>
        <v>1.7827500000000001</v>
      </c>
      <c r="F40" s="72">
        <f>SUM('[2]Cat C'!M24:M28,'[2]Cat C'!M22)/1000</f>
        <v>1.776</v>
      </c>
      <c r="G40" s="72">
        <f>SUM('[2]Cat C'!N24:N28,'[2]Cat C'!N22)/1000</f>
        <v>1.776</v>
      </c>
      <c r="H40" s="72">
        <f>SUM('[2]Cat C'!O24:O28,'[2]Cat C'!O22)/1000</f>
        <v>1.776</v>
      </c>
      <c r="I40" s="72">
        <f>SUM('[2]Cat C'!P24:P28,'[2]Cat C'!P22)/1000</f>
        <v>1.776</v>
      </c>
      <c r="J40" s="7">
        <v>75</v>
      </c>
      <c r="K40" s="7" t="s">
        <v>40</v>
      </c>
    </row>
    <row r="41" spans="1:11" s="7" customFormat="1" x14ac:dyDescent="0.2">
      <c r="A41" s="112">
        <v>14</v>
      </c>
      <c r="B41" s="38" t="s">
        <v>470</v>
      </c>
      <c r="C41" s="72">
        <v>0</v>
      </c>
      <c r="D41" s="72">
        <v>17</v>
      </c>
      <c r="E41" s="72">
        <v>22</v>
      </c>
      <c r="F41" s="72">
        <v>24.5</v>
      </c>
      <c r="G41" s="72">
        <v>24.5</v>
      </c>
      <c r="H41" s="72">
        <v>24.5</v>
      </c>
      <c r="I41" s="72">
        <v>24.5</v>
      </c>
      <c r="J41" s="7">
        <v>50</v>
      </c>
      <c r="K41" s="7" t="s">
        <v>63</v>
      </c>
    </row>
    <row r="42" spans="1:11" s="7" customFormat="1" x14ac:dyDescent="0.2">
      <c r="A42" s="112">
        <v>14</v>
      </c>
      <c r="B42" s="38" t="s">
        <v>44</v>
      </c>
      <c r="C42" s="72">
        <f>'[2]Cat C'!J31/1000</f>
        <v>0.18</v>
      </c>
      <c r="D42" s="72">
        <f>'[2]Cat C'!K31/1000</f>
        <v>0</v>
      </c>
      <c r="E42" s="72">
        <f>'[2]Cat C'!L31/1000</f>
        <v>0</v>
      </c>
      <c r="F42" s="72">
        <f>'[2]Cat C'!M31/1000</f>
        <v>0</v>
      </c>
      <c r="G42" s="72">
        <f>'[2]Cat C'!N31/1000</f>
        <v>0</v>
      </c>
      <c r="H42" s="72">
        <f>'[2]Cat C'!O31/1000</f>
        <v>0</v>
      </c>
      <c r="I42" s="72">
        <f>'[2]Cat C'!P31/1000</f>
        <v>0</v>
      </c>
      <c r="J42" s="7">
        <v>5</v>
      </c>
      <c r="K42" s="7" t="s">
        <v>45</v>
      </c>
    </row>
    <row r="43" spans="1:11" s="7" customFormat="1" x14ac:dyDescent="0.2">
      <c r="A43" s="38"/>
      <c r="B43" s="38"/>
      <c r="C43" s="72"/>
      <c r="D43" s="72"/>
      <c r="E43" s="72"/>
      <c r="F43" s="72"/>
      <c r="G43" s="72"/>
      <c r="H43" s="72"/>
      <c r="I43" s="72"/>
    </row>
    <row r="44" spans="1:11" s="7" customFormat="1" x14ac:dyDescent="0.2">
      <c r="A44" s="38" t="s">
        <v>385</v>
      </c>
      <c r="B44" s="38" t="s">
        <v>386</v>
      </c>
      <c r="C44" s="72">
        <v>17.784400000000002</v>
      </c>
      <c r="D44" s="72">
        <v>21.772800000000004</v>
      </c>
      <c r="E44" s="72">
        <v>11.836</v>
      </c>
      <c r="F44" s="72">
        <v>12.498400000000002</v>
      </c>
      <c r="G44" s="72">
        <v>12.662800000000001</v>
      </c>
      <c r="H44" s="72">
        <v>10.4472</v>
      </c>
      <c r="I44" s="72">
        <v>10.384400000000001</v>
      </c>
      <c r="J44" s="7">
        <v>40</v>
      </c>
      <c r="K44" s="7" t="s">
        <v>16</v>
      </c>
    </row>
    <row r="45" spans="1:11" s="7" customFormat="1" x14ac:dyDescent="0.2">
      <c r="A45" s="38" t="s">
        <v>385</v>
      </c>
      <c r="B45" s="38" t="s">
        <v>352</v>
      </c>
      <c r="C45" s="72">
        <v>0.65355000000000008</v>
      </c>
      <c r="D45" s="72">
        <v>0.51860000000000006</v>
      </c>
      <c r="E45" s="72">
        <v>0.31130000000000002</v>
      </c>
      <c r="F45" s="72">
        <v>0</v>
      </c>
      <c r="G45" s="72">
        <v>0</v>
      </c>
      <c r="H45" s="72">
        <v>0</v>
      </c>
      <c r="I45" s="72">
        <v>0</v>
      </c>
      <c r="J45" s="7">
        <v>5</v>
      </c>
      <c r="K45" s="7" t="s">
        <v>35</v>
      </c>
    </row>
    <row r="46" spans="1:11" s="7" customFormat="1" x14ac:dyDescent="0.2">
      <c r="A46" s="38"/>
      <c r="B46" s="38"/>
      <c r="C46" s="72"/>
      <c r="D46" s="72"/>
      <c r="E46" s="72"/>
      <c r="F46" s="72"/>
      <c r="G46" s="72"/>
      <c r="H46" s="72"/>
      <c r="I46" s="72"/>
    </row>
    <row r="47" spans="1:11" s="7" customFormat="1" x14ac:dyDescent="0.2">
      <c r="A47" s="38" t="s">
        <v>504</v>
      </c>
      <c r="B47" s="38" t="s">
        <v>505</v>
      </c>
      <c r="C47" s="72">
        <v>3</v>
      </c>
      <c r="D47" s="72">
        <v>42</v>
      </c>
      <c r="E47" s="72">
        <v>0</v>
      </c>
      <c r="F47" s="72">
        <v>0</v>
      </c>
      <c r="G47" s="72">
        <v>0</v>
      </c>
      <c r="H47" s="72">
        <v>0</v>
      </c>
      <c r="I47" s="72">
        <v>0</v>
      </c>
      <c r="J47" s="7">
        <v>100</v>
      </c>
      <c r="K47" s="7" t="s">
        <v>16</v>
      </c>
    </row>
    <row r="48" spans="1:11" s="187" customFormat="1" x14ac:dyDescent="0.2">
      <c r="A48" s="186"/>
      <c r="B48" s="187" t="s">
        <v>360</v>
      </c>
      <c r="C48" s="188">
        <f>SUM(C26:C47)</f>
        <v>102.23990000000001</v>
      </c>
      <c r="D48" s="188">
        <f t="shared" ref="D48:I48" si="3">SUM(D26:D47)</f>
        <v>186.96370999999999</v>
      </c>
      <c r="E48" s="188">
        <f t="shared" si="3"/>
        <v>129.58216999999999</v>
      </c>
      <c r="F48" s="188">
        <f t="shared" si="3"/>
        <v>126.93680999999999</v>
      </c>
      <c r="G48" s="188">
        <f t="shared" si="3"/>
        <v>124.35442000000002</v>
      </c>
      <c r="H48" s="188">
        <f t="shared" si="3"/>
        <v>116.14112</v>
      </c>
      <c r="I48" s="188">
        <f t="shared" si="3"/>
        <v>113.33141999999999</v>
      </c>
    </row>
    <row r="49" spans="1:12" s="187" customFormat="1" x14ac:dyDescent="0.2">
      <c r="A49" s="186"/>
      <c r="C49" s="188"/>
      <c r="D49" s="188"/>
      <c r="E49" s="188"/>
      <c r="F49" s="188"/>
      <c r="G49" s="188"/>
      <c r="H49" s="188"/>
      <c r="I49" s="188"/>
    </row>
    <row r="50" spans="1:12" s="7" customFormat="1" x14ac:dyDescent="0.2">
      <c r="A50" s="112">
        <v>16</v>
      </c>
      <c r="B50" s="112" t="s">
        <v>501</v>
      </c>
      <c r="C50" s="94">
        <v>4.5670000000000002</v>
      </c>
      <c r="D50" s="94">
        <v>8.94</v>
      </c>
      <c r="E50" s="94">
        <v>10.378</v>
      </c>
      <c r="F50" s="94">
        <v>6.1539999999999999</v>
      </c>
      <c r="G50" s="94">
        <v>1.2</v>
      </c>
      <c r="H50" s="94">
        <v>1.2</v>
      </c>
      <c r="I50" s="94">
        <v>1.2</v>
      </c>
      <c r="J50" s="7">
        <v>100</v>
      </c>
      <c r="K50" s="7" t="s">
        <v>16</v>
      </c>
    </row>
    <row r="51" spans="1:12" s="7" customFormat="1" x14ac:dyDescent="0.2">
      <c r="A51" s="112">
        <v>16</v>
      </c>
      <c r="B51" s="112" t="s">
        <v>500</v>
      </c>
      <c r="C51" s="94">
        <v>11.571999999999999</v>
      </c>
      <c r="D51" s="94">
        <v>9.4860000000000007</v>
      </c>
      <c r="E51" s="94">
        <v>8.7889999999999997</v>
      </c>
      <c r="F51" s="94">
        <v>6.3890000000000002</v>
      </c>
      <c r="G51" s="94">
        <v>10.135</v>
      </c>
      <c r="H51" s="94">
        <v>10.939</v>
      </c>
      <c r="I51" s="94">
        <v>10.939</v>
      </c>
      <c r="J51" s="7">
        <v>100</v>
      </c>
      <c r="K51" s="7" t="s">
        <v>16</v>
      </c>
    </row>
    <row r="52" spans="1:12" s="113" customFormat="1" x14ac:dyDescent="0.2">
      <c r="A52" s="114"/>
      <c r="B52" s="114" t="s">
        <v>361</v>
      </c>
      <c r="C52" s="115">
        <f t="shared" ref="C52:I52" si="4">SUM(C50:C51)</f>
        <v>16.138999999999999</v>
      </c>
      <c r="D52" s="116">
        <f t="shared" si="4"/>
        <v>18.426000000000002</v>
      </c>
      <c r="E52" s="116">
        <f t="shared" si="4"/>
        <v>19.167000000000002</v>
      </c>
      <c r="F52" s="116">
        <f t="shared" si="4"/>
        <v>12.542999999999999</v>
      </c>
      <c r="G52" s="116">
        <f t="shared" si="4"/>
        <v>11.334999999999999</v>
      </c>
      <c r="H52" s="116">
        <f t="shared" si="4"/>
        <v>12.138999999999999</v>
      </c>
      <c r="I52" s="115">
        <f t="shared" si="4"/>
        <v>12.138999999999999</v>
      </c>
    </row>
    <row r="54" spans="1:12" s="2" customFormat="1" ht="15" x14ac:dyDescent="0.25">
      <c r="A54" s="122"/>
      <c r="B54" s="3" t="s">
        <v>58</v>
      </c>
      <c r="C54" s="19">
        <f t="shared" ref="C54:I54" si="5">+C48+C52</f>
        <v>118.3789</v>
      </c>
      <c r="D54" s="19">
        <f t="shared" si="5"/>
        <v>205.38970999999998</v>
      </c>
      <c r="E54" s="19">
        <f t="shared" si="5"/>
        <v>148.74916999999999</v>
      </c>
      <c r="F54" s="19">
        <f t="shared" si="5"/>
        <v>139.47980999999999</v>
      </c>
      <c r="G54" s="19">
        <f t="shared" si="5"/>
        <v>135.68942000000001</v>
      </c>
      <c r="H54" s="19">
        <f t="shared" si="5"/>
        <v>128.28012000000001</v>
      </c>
      <c r="I54" s="19">
        <f t="shared" si="5"/>
        <v>125.47041999999999</v>
      </c>
    </row>
    <row r="55" spans="1:12" s="2" customFormat="1" ht="15" x14ac:dyDescent="0.25">
      <c r="A55" s="122"/>
      <c r="B55" s="3"/>
      <c r="C55" s="19"/>
      <c r="D55" s="19"/>
      <c r="E55" s="19"/>
      <c r="F55" s="19"/>
      <c r="G55" s="19"/>
      <c r="H55" s="19"/>
      <c r="I55" s="19"/>
    </row>
    <row r="56" spans="1:12" s="2" customFormat="1" ht="15" x14ac:dyDescent="0.25">
      <c r="A56" s="121"/>
      <c r="B56" s="29" t="s">
        <v>126</v>
      </c>
      <c r="C56" s="17"/>
      <c r="D56" s="17"/>
      <c r="E56" s="17"/>
      <c r="F56" s="17"/>
      <c r="G56" s="17"/>
      <c r="H56" s="17"/>
      <c r="I56" s="17"/>
      <c r="J56" s="17"/>
      <c r="K56" s="17"/>
      <c r="L56" s="17"/>
    </row>
    <row r="57" spans="1:12" s="182" customFormat="1" x14ac:dyDescent="0.2">
      <c r="A57" s="191" t="s">
        <v>259</v>
      </c>
      <c r="B57" s="182" t="s">
        <v>273</v>
      </c>
      <c r="C57" s="182">
        <v>0.17499999999999999</v>
      </c>
      <c r="D57" s="182">
        <v>0.215</v>
      </c>
      <c r="E57" s="182">
        <v>0.215</v>
      </c>
      <c r="F57" s="182">
        <v>0.215</v>
      </c>
      <c r="G57" s="182">
        <v>0.215</v>
      </c>
      <c r="H57" s="177">
        <v>0</v>
      </c>
      <c r="I57" s="177">
        <v>0</v>
      </c>
      <c r="J57" s="182">
        <v>0.2</v>
      </c>
      <c r="K57" s="182" t="s">
        <v>263</v>
      </c>
      <c r="L57" s="182" t="s">
        <v>264</v>
      </c>
    </row>
    <row r="58" spans="1:12" s="182" customFormat="1" x14ac:dyDescent="0.2">
      <c r="A58" s="191" t="s">
        <v>259</v>
      </c>
      <c r="B58" s="182" t="s">
        <v>274</v>
      </c>
      <c r="C58" s="177">
        <v>0.18637500000000001</v>
      </c>
      <c r="D58" s="177">
        <v>0.252</v>
      </c>
      <c r="E58" s="177">
        <v>0.25</v>
      </c>
      <c r="F58" s="177">
        <v>0.25</v>
      </c>
      <c r="G58" s="177">
        <v>0.25</v>
      </c>
      <c r="H58" s="177">
        <v>0</v>
      </c>
      <c r="I58" s="177">
        <v>0</v>
      </c>
      <c r="J58" s="182">
        <v>0.2</v>
      </c>
      <c r="K58" s="182" t="s">
        <v>10</v>
      </c>
      <c r="L58" s="182" t="s">
        <v>265</v>
      </c>
    </row>
    <row r="59" spans="1:12" s="182" customFormat="1" x14ac:dyDescent="0.2">
      <c r="A59" s="191" t="s">
        <v>259</v>
      </c>
      <c r="B59" s="182" t="s">
        <v>266</v>
      </c>
      <c r="C59" s="192">
        <v>0.78490700000000002</v>
      </c>
      <c r="D59" s="192">
        <v>0.80800000000000005</v>
      </c>
      <c r="E59" s="192">
        <v>2</v>
      </c>
      <c r="F59" s="192"/>
      <c r="G59" s="192">
        <v>0</v>
      </c>
      <c r="H59" s="192">
        <v>0</v>
      </c>
      <c r="I59" s="192">
        <v>0</v>
      </c>
      <c r="J59" s="193">
        <f>0.132855055134848*100</f>
        <v>13.2855055134848</v>
      </c>
      <c r="K59" s="182" t="s">
        <v>10</v>
      </c>
      <c r="L59" s="182" t="s">
        <v>267</v>
      </c>
    </row>
    <row r="60" spans="1:12" s="182" customFormat="1" x14ac:dyDescent="0.2">
      <c r="A60" s="191" t="s">
        <v>259</v>
      </c>
      <c r="B60" s="182" t="s">
        <v>268</v>
      </c>
      <c r="C60" s="177">
        <v>0.39995999999999998</v>
      </c>
      <c r="D60" s="177">
        <v>0</v>
      </c>
      <c r="E60" s="177">
        <v>0</v>
      </c>
      <c r="F60" s="177">
        <v>0</v>
      </c>
      <c r="G60" s="177">
        <v>0</v>
      </c>
      <c r="H60" s="177">
        <v>0</v>
      </c>
      <c r="I60" s="177">
        <v>0</v>
      </c>
      <c r="J60" s="182">
        <v>0</v>
      </c>
      <c r="K60" s="182" t="s">
        <v>10</v>
      </c>
      <c r="L60" s="182" t="s">
        <v>269</v>
      </c>
    </row>
    <row r="61" spans="1:12" s="182" customFormat="1" x14ac:dyDescent="0.2">
      <c r="A61" s="191" t="s">
        <v>259</v>
      </c>
      <c r="B61" s="182" t="s">
        <v>270</v>
      </c>
      <c r="C61" s="177">
        <v>0.3</v>
      </c>
      <c r="D61" s="177">
        <v>0.25</v>
      </c>
      <c r="E61" s="177">
        <v>0.25</v>
      </c>
      <c r="F61" s="177">
        <v>0.25</v>
      </c>
      <c r="G61" s="177">
        <v>0.25</v>
      </c>
      <c r="H61" s="177">
        <v>0.25</v>
      </c>
      <c r="I61" s="177">
        <v>0.25</v>
      </c>
      <c r="J61" s="182">
        <v>0.2</v>
      </c>
      <c r="K61" s="182" t="s">
        <v>10</v>
      </c>
      <c r="L61" s="182" t="s">
        <v>271</v>
      </c>
    </row>
    <row r="62" spans="1:12" s="182" customFormat="1" x14ac:dyDescent="0.2">
      <c r="A62" s="191" t="s">
        <v>507</v>
      </c>
      <c r="B62" s="182" t="s">
        <v>508</v>
      </c>
      <c r="C62" s="177">
        <v>0</v>
      </c>
      <c r="D62" s="177">
        <v>1</v>
      </c>
      <c r="E62" s="177">
        <v>1</v>
      </c>
      <c r="F62" s="177">
        <v>1</v>
      </c>
      <c r="G62" s="177">
        <v>1</v>
      </c>
      <c r="H62" s="177">
        <v>1</v>
      </c>
      <c r="I62" s="177">
        <v>1</v>
      </c>
      <c r="J62" s="193">
        <f>0.103605470368835*100</f>
        <v>10.360547036883499</v>
      </c>
      <c r="K62" s="182" t="s">
        <v>10</v>
      </c>
      <c r="L62" s="182" t="s">
        <v>509</v>
      </c>
    </row>
    <row r="63" spans="1:12" s="182" customFormat="1" x14ac:dyDescent="0.2">
      <c r="A63" s="191" t="s">
        <v>255</v>
      </c>
      <c r="B63" s="182" t="s">
        <v>506</v>
      </c>
      <c r="C63" s="192">
        <v>1</v>
      </c>
      <c r="D63" s="192">
        <v>0</v>
      </c>
      <c r="E63" s="192">
        <v>0</v>
      </c>
      <c r="F63" s="192">
        <v>0</v>
      </c>
      <c r="G63" s="192">
        <v>0</v>
      </c>
      <c r="H63" s="192">
        <v>0</v>
      </c>
      <c r="I63" s="192">
        <v>0</v>
      </c>
      <c r="J63" s="182">
        <v>0</v>
      </c>
      <c r="K63" s="182" t="s">
        <v>63</v>
      </c>
      <c r="L63" s="182" t="s">
        <v>272</v>
      </c>
    </row>
    <row r="64" spans="1:12" s="141" customFormat="1" x14ac:dyDescent="0.2">
      <c r="A64" s="119"/>
    </row>
    <row r="65" spans="1:12" s="2" customFormat="1" ht="15" x14ac:dyDescent="0.25">
      <c r="A65" s="122"/>
      <c r="B65" s="3" t="s">
        <v>129</v>
      </c>
      <c r="C65" s="19">
        <f t="shared" ref="C65:I65" si="6">SUM(C57:C64)</f>
        <v>2.8462420000000002</v>
      </c>
      <c r="D65" s="19">
        <f t="shared" si="6"/>
        <v>2.5249999999999999</v>
      </c>
      <c r="E65" s="19">
        <f t="shared" si="6"/>
        <v>3.7149999999999999</v>
      </c>
      <c r="F65" s="19">
        <f t="shared" si="6"/>
        <v>1.7149999999999999</v>
      </c>
      <c r="G65" s="19">
        <f t="shared" si="6"/>
        <v>1.7149999999999999</v>
      </c>
      <c r="H65" s="19">
        <f t="shared" si="6"/>
        <v>1.25</v>
      </c>
      <c r="I65" s="19">
        <f t="shared" si="6"/>
        <v>1.25</v>
      </c>
    </row>
    <row r="66" spans="1:12" s="4" customFormat="1" x14ac:dyDescent="0.2">
      <c r="A66" s="8"/>
    </row>
    <row r="67" spans="1:12" s="20" customFormat="1" ht="15.75" x14ac:dyDescent="0.25">
      <c r="A67" s="123"/>
      <c r="B67" s="35" t="s">
        <v>127</v>
      </c>
      <c r="C67" s="44">
        <f t="shared" ref="C67:I67" si="7">+C5++C23+C54+C65+C11</f>
        <v>139.31935474999997</v>
      </c>
      <c r="D67" s="44">
        <f t="shared" si="7"/>
        <v>261.19671</v>
      </c>
      <c r="E67" s="44">
        <f t="shared" si="7"/>
        <v>180.98617000000002</v>
      </c>
      <c r="F67" s="44">
        <f t="shared" si="7"/>
        <v>195.54381000000001</v>
      </c>
      <c r="G67" s="44">
        <f t="shared" si="7"/>
        <v>197.64042000000001</v>
      </c>
      <c r="H67" s="44">
        <f t="shared" si="7"/>
        <v>173.41912000000002</v>
      </c>
      <c r="I67" s="44">
        <f t="shared" si="7"/>
        <v>161.38741999999999</v>
      </c>
      <c r="J67" s="43"/>
      <c r="K67" s="43"/>
      <c r="L67" s="43"/>
    </row>
    <row r="75" spans="1:12" ht="15" x14ac:dyDescent="0.25">
      <c r="A75" s="49"/>
    </row>
    <row r="76" spans="1:12" ht="15" x14ac:dyDescent="0.25">
      <c r="A76" s="49"/>
    </row>
    <row r="77" spans="1:12" ht="15" x14ac:dyDescent="0.25">
      <c r="A77" s="49"/>
    </row>
    <row r="78" spans="1:12" ht="15" x14ac:dyDescent="0.25">
      <c r="A78" s="49"/>
    </row>
  </sheetData>
  <pageMargins left="0.70866141732283472" right="0.70866141732283472" top="0.74803149606299213" bottom="0.74803149606299213" header="0.31496062992125984" footer="0.31496062992125984"/>
  <pageSetup paperSize="8" scale="73" orientation="landscape" r:id="rId1"/>
  <headerFooter>
    <oddFooter>&amp;L&amp;Z&amp;F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workbookViewId="0"/>
  </sheetViews>
  <sheetFormatPr defaultRowHeight="12.75" x14ac:dyDescent="0.2"/>
  <cols>
    <col min="1" max="1" width="36.85546875" style="18" bestFit="1" customWidth="1"/>
    <col min="2" max="16384" width="9.140625" style="18"/>
  </cols>
  <sheetData>
    <row r="1" spans="1:8" ht="18.75" x14ac:dyDescent="0.3">
      <c r="A1" s="102" t="s">
        <v>415</v>
      </c>
    </row>
    <row r="3" spans="1:8" x14ac:dyDescent="0.2">
      <c r="A3" s="106" t="s">
        <v>356</v>
      </c>
      <c r="B3" s="106"/>
      <c r="C3" s="106"/>
      <c r="D3" s="106"/>
      <c r="E3" s="106"/>
      <c r="F3" s="106"/>
      <c r="G3" s="106"/>
      <c r="H3" s="106"/>
    </row>
    <row r="4" spans="1:8" x14ac:dyDescent="0.2">
      <c r="B4" s="106">
        <v>2014</v>
      </c>
      <c r="C4" s="106">
        <v>2015</v>
      </c>
      <c r="D4" s="106">
        <v>2016</v>
      </c>
      <c r="E4" s="106">
        <v>2017</v>
      </c>
      <c r="F4" s="106">
        <v>2018</v>
      </c>
      <c r="G4" s="106">
        <v>2019</v>
      </c>
      <c r="H4" s="106">
        <v>2020</v>
      </c>
    </row>
    <row r="5" spans="1:8" x14ac:dyDescent="0.2">
      <c r="A5" s="18" t="s">
        <v>212</v>
      </c>
      <c r="B5" s="107">
        <f>'R&amp;D'!C210</f>
        <v>0.45200000000000001</v>
      </c>
      <c r="C5" s="107">
        <f>'R&amp;D'!D210</f>
        <v>0.68899999999999995</v>
      </c>
      <c r="D5" s="107">
        <f>'R&amp;D'!E210</f>
        <v>0.59399999999999997</v>
      </c>
      <c r="E5" s="107">
        <f>'R&amp;D'!F210</f>
        <v>0.59399999999999997</v>
      </c>
      <c r="F5" s="107">
        <f>'R&amp;D'!G210</f>
        <v>0.59399999999999997</v>
      </c>
      <c r="G5" s="107">
        <f>'R&amp;D'!H210</f>
        <v>0.59399999999999997</v>
      </c>
      <c r="H5" s="107">
        <f>'R&amp;D'!I210</f>
        <v>0.59399999999999997</v>
      </c>
    </row>
    <row r="6" spans="1:8" s="4" customFormat="1" x14ac:dyDescent="0.2">
      <c r="A6" s="4" t="s">
        <v>213</v>
      </c>
      <c r="B6" s="82">
        <f>'R&amp;D'!C211</f>
        <v>42.844000000000001</v>
      </c>
      <c r="C6" s="82">
        <f>'R&amp;D'!D211</f>
        <v>45.113999999999997</v>
      </c>
      <c r="D6" s="82">
        <f>'R&amp;D'!E211</f>
        <v>43.8</v>
      </c>
      <c r="E6" s="82">
        <f>'R&amp;D'!F211</f>
        <v>42.701000000000001</v>
      </c>
      <c r="F6" s="82">
        <f>'R&amp;D'!G211</f>
        <v>42.701000000000001</v>
      </c>
      <c r="G6" s="82">
        <f>'R&amp;D'!H211</f>
        <v>42.701000000000001</v>
      </c>
      <c r="H6" s="82">
        <f>'R&amp;D'!I211</f>
        <v>42.701000000000001</v>
      </c>
    </row>
    <row r="7" spans="1:8" x14ac:dyDescent="0.2">
      <c r="A7" s="18" t="s">
        <v>214</v>
      </c>
      <c r="B7" s="107">
        <f>'R&amp;D'!C212</f>
        <v>21.279489256961618</v>
      </c>
      <c r="C7" s="107">
        <f>'R&amp;D'!D212</f>
        <v>21.38500910228149</v>
      </c>
      <c r="D7" s="107">
        <f>'R&amp;D'!E212</f>
        <v>20.730611092092477</v>
      </c>
      <c r="E7" s="107">
        <f>'R&amp;D'!F212</f>
        <v>20.38660101932755</v>
      </c>
      <c r="F7" s="107">
        <f>'R&amp;D'!G212</f>
        <v>20.202007133586513</v>
      </c>
      <c r="G7" s="107">
        <f>'R&amp;D'!H212</f>
        <v>20.236845228154259</v>
      </c>
      <c r="H7" s="107">
        <f>'R&amp;D'!I212</f>
        <v>20.246716021615121</v>
      </c>
    </row>
    <row r="8" spans="1:8" x14ac:dyDescent="0.2">
      <c r="A8" s="18" t="s">
        <v>215</v>
      </c>
      <c r="B8" s="107">
        <f>'R&amp;D'!C213</f>
        <v>19.701000000000001</v>
      </c>
      <c r="C8" s="107">
        <f>'R&amp;D'!D213</f>
        <v>21.606999999999999</v>
      </c>
      <c r="D8" s="107">
        <f>'R&amp;D'!E213</f>
        <v>18.260000000000002</v>
      </c>
      <c r="E8" s="107">
        <f>'R&amp;D'!F213</f>
        <v>18.14</v>
      </c>
      <c r="F8" s="107">
        <f>'R&amp;D'!G213</f>
        <v>16.088999999999999</v>
      </c>
      <c r="G8" s="107">
        <f>'R&amp;D'!H213</f>
        <v>15.923</v>
      </c>
      <c r="H8" s="107">
        <f>'R&amp;D'!I213</f>
        <v>17.14</v>
      </c>
    </row>
    <row r="9" spans="1:8" s="4" customFormat="1" x14ac:dyDescent="0.2">
      <c r="A9" s="4" t="s">
        <v>216</v>
      </c>
      <c r="B9" s="82">
        <f>'R&amp;D'!C214</f>
        <v>3501.0410000000006</v>
      </c>
      <c r="C9" s="82">
        <f>'R&amp;D'!D214</f>
        <v>3594.5718734261923</v>
      </c>
      <c r="D9" s="82">
        <f>'R&amp;D'!E214</f>
        <v>3551.2934253791063</v>
      </c>
      <c r="E9" s="82">
        <f>'R&amp;D'!F214</f>
        <v>3522.3499933758449</v>
      </c>
      <c r="F9" s="82">
        <f>'R&amp;D'!G214</f>
        <v>3497.9869908350197</v>
      </c>
      <c r="G9" s="82">
        <f>'R&amp;D'!H214</f>
        <v>3497.8243063013169</v>
      </c>
      <c r="H9" s="82">
        <f>'R&amp;D'!I214</f>
        <v>3509.3539847368038</v>
      </c>
    </row>
    <row r="10" spans="1:8" x14ac:dyDescent="0.2">
      <c r="A10" s="18" t="s">
        <v>90</v>
      </c>
      <c r="B10" s="107">
        <f>'R&amp;D'!C215</f>
        <v>59.402999999999999</v>
      </c>
      <c r="C10" s="107">
        <f>'R&amp;D'!D215</f>
        <v>61.105000000000004</v>
      </c>
      <c r="D10" s="107">
        <f>'R&amp;D'!E215</f>
        <v>57.174999999999997</v>
      </c>
      <c r="E10" s="107">
        <f>'R&amp;D'!F215</f>
        <v>56.954000000000008</v>
      </c>
      <c r="F10" s="107">
        <f>'R&amp;D'!G215</f>
        <v>56.957000000000001</v>
      </c>
      <c r="G10" s="107">
        <f>'R&amp;D'!H215</f>
        <v>56.957000000000001</v>
      </c>
      <c r="H10" s="107">
        <f>'R&amp;D'!I215</f>
        <v>56.957000000000001</v>
      </c>
    </row>
    <row r="11" spans="1:8" x14ac:dyDescent="0.2">
      <c r="A11" s="18" t="s">
        <v>217</v>
      </c>
      <c r="B11" s="107">
        <f>'R&amp;D'!C216</f>
        <v>67.877132809000059</v>
      </c>
      <c r="C11" s="107">
        <f>'R&amp;D'!D216</f>
        <v>71.105857096971263</v>
      </c>
      <c r="D11" s="107">
        <f>'R&amp;D'!E216</f>
        <v>66.021827181819972</v>
      </c>
      <c r="E11" s="107">
        <f>'R&amp;D'!F216</f>
        <v>69.300976143608423</v>
      </c>
      <c r="F11" s="107">
        <f>'R&amp;D'!G216</f>
        <v>50.722238104910957</v>
      </c>
      <c r="G11" s="107">
        <f>'R&amp;D'!H216</f>
        <v>50.392538389989618</v>
      </c>
      <c r="H11" s="107">
        <f>'R&amp;D'!I216</f>
        <v>48.753542728175368</v>
      </c>
    </row>
    <row r="12" spans="1:8" x14ac:dyDescent="0.2">
      <c r="A12" s="18" t="s">
        <v>218</v>
      </c>
      <c r="B12" s="107">
        <f>'R&amp;D'!C217</f>
        <v>908.58179999999982</v>
      </c>
      <c r="C12" s="107">
        <f>'R&amp;D'!D217</f>
        <v>970.76125000000025</v>
      </c>
      <c r="D12" s="107">
        <f>'R&amp;D'!E217</f>
        <v>875.51059999999995</v>
      </c>
      <c r="E12" s="107">
        <f>'R&amp;D'!F217</f>
        <v>800.82684999999992</v>
      </c>
      <c r="F12" s="107">
        <f>'R&amp;D'!G217</f>
        <v>785.26144999999997</v>
      </c>
      <c r="G12" s="107">
        <f>'R&amp;D'!H217</f>
        <v>774.49644999999987</v>
      </c>
      <c r="H12" s="107">
        <f>'R&amp;D'!I217</f>
        <v>793.34154999999987</v>
      </c>
    </row>
    <row r="13" spans="1:8" x14ac:dyDescent="0.2">
      <c r="A13" s="18" t="s">
        <v>219</v>
      </c>
      <c r="B13" s="107">
        <f>'R&amp;D'!C218</f>
        <v>0.6</v>
      </c>
      <c r="C13" s="107">
        <f>'R&amp;D'!D218</f>
        <v>0.8</v>
      </c>
      <c r="D13" s="107">
        <f>'R&amp;D'!E218</f>
        <v>1.1000000000000001</v>
      </c>
      <c r="E13" s="107">
        <f>'R&amp;D'!F218</f>
        <v>0.9</v>
      </c>
      <c r="F13" s="107">
        <f>'R&amp;D'!G218</f>
        <v>0.9</v>
      </c>
      <c r="G13" s="107">
        <f>'R&amp;D'!H218</f>
        <v>0.9</v>
      </c>
      <c r="H13" s="107">
        <f>'R&amp;D'!I218</f>
        <v>0.9</v>
      </c>
    </row>
    <row r="14" spans="1:8" x14ac:dyDescent="0.2">
      <c r="A14" s="18" t="s">
        <v>220</v>
      </c>
      <c r="B14" s="107">
        <f>'R&amp;D'!C219</f>
        <v>252.02800000000005</v>
      </c>
      <c r="C14" s="107">
        <f>'R&amp;D'!D219</f>
        <v>233.03099999999998</v>
      </c>
      <c r="D14" s="107">
        <f>'R&amp;D'!E219</f>
        <v>226.971</v>
      </c>
      <c r="E14" s="107">
        <f>'R&amp;D'!F219</f>
        <v>205.39299999999997</v>
      </c>
      <c r="F14" s="107">
        <f>'R&amp;D'!G219</f>
        <v>188.82500000000002</v>
      </c>
      <c r="G14" s="107">
        <f>'R&amp;D'!H219</f>
        <v>197.02699999999999</v>
      </c>
      <c r="H14" s="107">
        <f>'R&amp;D'!I219</f>
        <v>192.261</v>
      </c>
    </row>
    <row r="15" spans="1:8" s="106" customFormat="1" x14ac:dyDescent="0.2">
      <c r="A15" s="106" t="s">
        <v>355</v>
      </c>
      <c r="B15" s="108">
        <f>SUM(B5:B14)</f>
        <v>4873.8074220659628</v>
      </c>
      <c r="C15" s="108">
        <f t="shared" ref="C15:H15" si="0">SUM(C5:C14)</f>
        <v>5020.1699896254459</v>
      </c>
      <c r="D15" s="108">
        <f t="shared" si="0"/>
        <v>4861.4564636530195</v>
      </c>
      <c r="E15" s="108">
        <f t="shared" si="0"/>
        <v>4737.5464205387798</v>
      </c>
      <c r="F15" s="108">
        <f t="shared" si="0"/>
        <v>4660.238686073516</v>
      </c>
      <c r="G15" s="108">
        <f t="shared" si="0"/>
        <v>4657.0521399194604</v>
      </c>
      <c r="H15" s="108">
        <f t="shared" si="0"/>
        <v>4682.248793486594</v>
      </c>
    </row>
    <row r="17" spans="1:8" x14ac:dyDescent="0.2">
      <c r="A17" s="106" t="s">
        <v>427</v>
      </c>
    </row>
    <row r="18" spans="1:8" s="106" customFormat="1" x14ac:dyDescent="0.2">
      <c r="B18" s="106">
        <f>B4</f>
        <v>2014</v>
      </c>
      <c r="C18" s="106">
        <f t="shared" ref="C18:H18" si="1">C4</f>
        <v>2015</v>
      </c>
      <c r="D18" s="106">
        <f t="shared" si="1"/>
        <v>2016</v>
      </c>
      <c r="E18" s="106">
        <f t="shared" si="1"/>
        <v>2017</v>
      </c>
      <c r="F18" s="106">
        <f t="shared" si="1"/>
        <v>2018</v>
      </c>
      <c r="G18" s="106">
        <f t="shared" si="1"/>
        <v>2019</v>
      </c>
      <c r="H18" s="106">
        <f t="shared" si="1"/>
        <v>2020</v>
      </c>
    </row>
    <row r="19" spans="1:8" x14ac:dyDescent="0.2">
      <c r="A19" s="141" t="s">
        <v>212</v>
      </c>
      <c r="B19" s="109">
        <f>'R&amp;D'!P210</f>
        <v>0</v>
      </c>
      <c r="C19" s="109">
        <f>'R&amp;D'!Q210</f>
        <v>0</v>
      </c>
      <c r="D19" s="109">
        <f>'R&amp;D'!R210</f>
        <v>0</v>
      </c>
      <c r="E19" s="109">
        <f>'R&amp;D'!S210</f>
        <v>0</v>
      </c>
      <c r="F19" s="109">
        <f>'R&amp;D'!T210</f>
        <v>0</v>
      </c>
      <c r="G19" s="109">
        <f>'R&amp;D'!U210</f>
        <v>0</v>
      </c>
      <c r="H19" s="109">
        <f>'R&amp;D'!V210</f>
        <v>0</v>
      </c>
    </row>
    <row r="20" spans="1:8" s="4" customFormat="1" x14ac:dyDescent="0.2">
      <c r="A20" s="4" t="s">
        <v>213</v>
      </c>
      <c r="B20" s="83">
        <f>'R&amp;D'!P211</f>
        <v>0</v>
      </c>
      <c r="C20" s="83">
        <f>'R&amp;D'!Q211</f>
        <v>0</v>
      </c>
      <c r="D20" s="83">
        <f>'R&amp;D'!R211</f>
        <v>0</v>
      </c>
      <c r="E20" s="83">
        <f>'R&amp;D'!S211</f>
        <v>0</v>
      </c>
      <c r="F20" s="83">
        <f>'R&amp;D'!T211</f>
        <v>0</v>
      </c>
      <c r="G20" s="83">
        <f>'R&amp;D'!U211</f>
        <v>0</v>
      </c>
      <c r="H20" s="83">
        <f>'R&amp;D'!V211</f>
        <v>0</v>
      </c>
    </row>
    <row r="21" spans="1:8" x14ac:dyDescent="0.2">
      <c r="A21" s="141" t="s">
        <v>214</v>
      </c>
      <c r="B21" s="109">
        <f>'R&amp;D'!P212</f>
        <v>7.8287914055692953</v>
      </c>
      <c r="C21" s="109">
        <f>'R&amp;D'!Q212</f>
        <v>7.626407281825192</v>
      </c>
      <c r="D21" s="109">
        <f>'R&amp;D'!R212</f>
        <v>7.3900888736739834</v>
      </c>
      <c r="E21" s="109">
        <f>'R&amp;D'!S212</f>
        <v>7.1156808154620412</v>
      </c>
      <c r="F21" s="109">
        <f>'R&amp;D'!T212</f>
        <v>6.98480570686921</v>
      </c>
      <c r="G21" s="109">
        <f>'R&amp;D'!U212</f>
        <v>7.0126761825234061</v>
      </c>
      <c r="H21" s="109">
        <f>'R&amp;D'!V212</f>
        <v>7.0205728172920958</v>
      </c>
    </row>
    <row r="22" spans="1:8" x14ac:dyDescent="0.2">
      <c r="A22" s="141" t="s">
        <v>215</v>
      </c>
      <c r="B22" s="109">
        <f>'R&amp;D'!P213</f>
        <v>1.6748000000000001</v>
      </c>
      <c r="C22" s="109">
        <f>'R&amp;D'!Q213</f>
        <v>1.8004000000000002</v>
      </c>
      <c r="D22" s="109">
        <f>'R&amp;D'!R213</f>
        <v>1.5302000000000002</v>
      </c>
      <c r="E22" s="109">
        <f>'R&amp;D'!S213</f>
        <v>1.5182</v>
      </c>
      <c r="F22" s="109">
        <f>'R&amp;D'!T213</f>
        <v>1.3130999999999999</v>
      </c>
      <c r="G22" s="109">
        <f>'R&amp;D'!U213</f>
        <v>1.2965</v>
      </c>
      <c r="H22" s="109">
        <f>'R&amp;D'!V213</f>
        <v>1.4181999999999999</v>
      </c>
    </row>
    <row r="23" spans="1:8" s="4" customFormat="1" x14ac:dyDescent="0.2">
      <c r="A23" s="4" t="s">
        <v>216</v>
      </c>
      <c r="B23" s="83">
        <f>'R&amp;D'!P214</f>
        <v>229</v>
      </c>
      <c r="C23" s="83">
        <f>'R&amp;D'!Q214</f>
        <v>294</v>
      </c>
      <c r="D23" s="83">
        <f>'R&amp;D'!R214</f>
        <v>294</v>
      </c>
      <c r="E23" s="83">
        <f>'R&amp;D'!S214</f>
        <v>294</v>
      </c>
      <c r="F23" s="83">
        <f>'R&amp;D'!T214</f>
        <v>294</v>
      </c>
      <c r="G23" s="83">
        <f>'R&amp;D'!U214</f>
        <v>294</v>
      </c>
      <c r="H23" s="83">
        <f>'R&amp;D'!V214</f>
        <v>294</v>
      </c>
    </row>
    <row r="24" spans="1:8" x14ac:dyDescent="0.2">
      <c r="A24" s="141" t="s">
        <v>90</v>
      </c>
      <c r="B24" s="109">
        <f>'R&amp;D'!P215</f>
        <v>59.402999999999999</v>
      </c>
      <c r="C24" s="109">
        <f>'R&amp;D'!Q215</f>
        <v>61.105000000000004</v>
      </c>
      <c r="D24" s="109">
        <f>'R&amp;D'!R215</f>
        <v>57.174999999999997</v>
      </c>
      <c r="E24" s="109">
        <f>'R&amp;D'!S215</f>
        <v>56.954000000000008</v>
      </c>
      <c r="F24" s="109">
        <f>'R&amp;D'!T215</f>
        <v>56.957000000000001</v>
      </c>
      <c r="G24" s="109">
        <f>'R&amp;D'!U215</f>
        <v>56.957000000000001</v>
      </c>
      <c r="H24" s="109">
        <f>'R&amp;D'!V215</f>
        <v>56.957000000000001</v>
      </c>
    </row>
    <row r="25" spans="1:8" x14ac:dyDescent="0.2">
      <c r="A25" s="141" t="s">
        <v>217</v>
      </c>
      <c r="B25" s="109">
        <f>'R&amp;D'!P216</f>
        <v>7.0049999999999999</v>
      </c>
      <c r="C25" s="109">
        <f>'R&amp;D'!Q216</f>
        <v>6.6449999999999996</v>
      </c>
      <c r="D25" s="109">
        <f>'R&amp;D'!R216</f>
        <v>6.62</v>
      </c>
      <c r="E25" s="109">
        <f>'R&amp;D'!S216</f>
        <v>6.62</v>
      </c>
      <c r="F25" s="109">
        <f>'R&amp;D'!T216</f>
        <v>6.62</v>
      </c>
      <c r="G25" s="109">
        <f>'R&amp;D'!U216</f>
        <v>6.62</v>
      </c>
      <c r="H25" s="109">
        <f>'R&amp;D'!V216</f>
        <v>6.62</v>
      </c>
    </row>
    <row r="26" spans="1:8" x14ac:dyDescent="0.2">
      <c r="A26" s="141" t="s">
        <v>218</v>
      </c>
      <c r="B26" s="109">
        <f>'R&amp;D'!P217</f>
        <v>770.92604999999992</v>
      </c>
      <c r="C26" s="109">
        <f>'R&amp;D'!Q217</f>
        <v>794.73210000000006</v>
      </c>
      <c r="D26" s="109">
        <f>'R&amp;D'!R217</f>
        <v>705.34450000000015</v>
      </c>
      <c r="E26" s="109">
        <f>'R&amp;D'!S217</f>
        <v>690.57665000000009</v>
      </c>
      <c r="F26" s="109">
        <f>'R&amp;D'!T217</f>
        <v>680.99205000000006</v>
      </c>
      <c r="G26" s="109">
        <f>'R&amp;D'!U217</f>
        <v>670.69994999999994</v>
      </c>
      <c r="H26" s="109">
        <f>'R&amp;D'!V217</f>
        <v>689.76814999999988</v>
      </c>
    </row>
    <row r="27" spans="1:8" x14ac:dyDescent="0.2">
      <c r="A27" s="141" t="s">
        <v>219</v>
      </c>
      <c r="B27" s="109">
        <f>'R&amp;D'!P218</f>
        <v>0</v>
      </c>
      <c r="C27" s="109">
        <f>'R&amp;D'!Q218</f>
        <v>0</v>
      </c>
      <c r="D27" s="109">
        <f>'R&amp;D'!R218</f>
        <v>0</v>
      </c>
      <c r="E27" s="109">
        <f>'R&amp;D'!S218</f>
        <v>0</v>
      </c>
      <c r="F27" s="109">
        <f>'R&amp;D'!T218</f>
        <v>0</v>
      </c>
      <c r="G27" s="109">
        <f>'R&amp;D'!U218</f>
        <v>0</v>
      </c>
      <c r="H27" s="109">
        <f>'R&amp;D'!V218</f>
        <v>0</v>
      </c>
    </row>
    <row r="28" spans="1:8" x14ac:dyDescent="0.2">
      <c r="A28" s="141" t="s">
        <v>220</v>
      </c>
      <c r="B28" s="109">
        <f>'R&amp;D'!P219</f>
        <v>60.667999999999999</v>
      </c>
      <c r="C28" s="109">
        <f>'R&amp;D'!Q219</f>
        <v>50.027999999999999</v>
      </c>
      <c r="D28" s="109">
        <f>'R&amp;D'!R219</f>
        <v>53.878</v>
      </c>
      <c r="E28" s="109">
        <f>'R&amp;D'!S219</f>
        <v>40.448</v>
      </c>
      <c r="F28" s="109">
        <f>'R&amp;D'!T219</f>
        <v>37.512999999999998</v>
      </c>
      <c r="G28" s="109">
        <f>'R&amp;D'!U219</f>
        <v>36.762999999999998</v>
      </c>
      <c r="H28" s="109">
        <f>'R&amp;D'!V219</f>
        <v>36.463000000000001</v>
      </c>
    </row>
    <row r="29" spans="1:8" s="106" customFormat="1" x14ac:dyDescent="0.2">
      <c r="A29" s="106" t="s">
        <v>210</v>
      </c>
      <c r="B29" s="108">
        <f t="shared" ref="B29:H29" si="2">SUM(B19:B28)</f>
        <v>1136.5056414055691</v>
      </c>
      <c r="C29" s="108">
        <f t="shared" si="2"/>
        <v>1215.9369072818251</v>
      </c>
      <c r="D29" s="108">
        <f t="shared" si="2"/>
        <v>1125.9377888736742</v>
      </c>
      <c r="E29" s="108">
        <f t="shared" si="2"/>
        <v>1097.2325308154623</v>
      </c>
      <c r="F29" s="108">
        <f t="shared" si="2"/>
        <v>1084.3799557068692</v>
      </c>
      <c r="G29" s="108">
        <f t="shared" si="2"/>
        <v>1073.3491261825234</v>
      </c>
      <c r="H29" s="108">
        <f t="shared" si="2"/>
        <v>1092.246922817292</v>
      </c>
    </row>
    <row r="31" spans="1:8" x14ac:dyDescent="0.2">
      <c r="A31" s="106" t="s">
        <v>357</v>
      </c>
    </row>
    <row r="32" spans="1:8" x14ac:dyDescent="0.2">
      <c r="B32" s="106">
        <f>B4</f>
        <v>2014</v>
      </c>
      <c r="C32" s="106">
        <f t="shared" ref="C32:H32" si="3">C4</f>
        <v>2015</v>
      </c>
      <c r="D32" s="106">
        <f t="shared" si="3"/>
        <v>2016</v>
      </c>
      <c r="E32" s="106">
        <f t="shared" si="3"/>
        <v>2017</v>
      </c>
      <c r="F32" s="106">
        <f t="shared" si="3"/>
        <v>2018</v>
      </c>
      <c r="G32" s="106">
        <f t="shared" si="3"/>
        <v>2019</v>
      </c>
      <c r="H32" s="106">
        <f t="shared" si="3"/>
        <v>2020</v>
      </c>
    </row>
    <row r="33" spans="1:8" x14ac:dyDescent="0.2">
      <c r="A33" s="18" t="s">
        <v>212</v>
      </c>
      <c r="B33" s="111"/>
      <c r="C33" s="111"/>
      <c r="D33" s="111"/>
      <c r="E33" s="111"/>
      <c r="F33" s="111"/>
      <c r="G33" s="111"/>
      <c r="H33" s="111"/>
    </row>
    <row r="34" spans="1:8" x14ac:dyDescent="0.2">
      <c r="A34" s="18" t="s">
        <v>213</v>
      </c>
      <c r="B34" s="111"/>
      <c r="C34" s="111"/>
      <c r="D34" s="111"/>
      <c r="E34" s="111"/>
      <c r="F34" s="111"/>
      <c r="G34" s="111"/>
      <c r="H34" s="111"/>
    </row>
    <row r="35" spans="1:8" x14ac:dyDescent="0.2">
      <c r="A35" s="18" t="s">
        <v>214</v>
      </c>
      <c r="B35" s="111"/>
      <c r="C35" s="111"/>
      <c r="D35" s="111"/>
      <c r="E35" s="111"/>
      <c r="F35" s="111"/>
      <c r="G35" s="111"/>
      <c r="H35" s="111"/>
    </row>
    <row r="36" spans="1:8" x14ac:dyDescent="0.2">
      <c r="A36" s="18" t="s">
        <v>215</v>
      </c>
      <c r="B36" s="111">
        <f>Innovatie!C5</f>
        <v>1.7090000000000001</v>
      </c>
      <c r="C36" s="111">
        <f>Innovatie!D5</f>
        <v>0.36</v>
      </c>
      <c r="D36" s="111">
        <f>Innovatie!E5</f>
        <v>0</v>
      </c>
      <c r="E36" s="111">
        <f>Innovatie!F5</f>
        <v>0</v>
      </c>
      <c r="F36" s="111">
        <f>Innovatie!G5</f>
        <v>0</v>
      </c>
      <c r="G36" s="111">
        <f>Innovatie!H5</f>
        <v>0</v>
      </c>
      <c r="H36" s="111">
        <f>Innovatie!I5</f>
        <v>0</v>
      </c>
    </row>
    <row r="37" spans="1:8" x14ac:dyDescent="0.2">
      <c r="A37" s="18" t="s">
        <v>216</v>
      </c>
      <c r="B37" s="111">
        <f>Innovatie!C11</f>
        <v>7.0750000000000002</v>
      </c>
      <c r="C37" s="111">
        <f>Innovatie!D11</f>
        <v>14.76</v>
      </c>
      <c r="D37" s="111">
        <f>Innovatie!E11</f>
        <v>20.21</v>
      </c>
      <c r="E37" s="111">
        <f>Innovatie!F11</f>
        <v>24.71</v>
      </c>
      <c r="F37" s="111">
        <f>Innovatie!G11</f>
        <v>43.945</v>
      </c>
      <c r="G37" s="111">
        <f>Innovatie!H11</f>
        <v>36.700000000000003</v>
      </c>
      <c r="H37" s="111">
        <f>Innovatie!I11</f>
        <v>29.655999999999999</v>
      </c>
    </row>
    <row r="38" spans="1:8" x14ac:dyDescent="0.2">
      <c r="A38" s="18" t="s">
        <v>90</v>
      </c>
      <c r="B38" s="109"/>
      <c r="C38" s="109"/>
      <c r="D38" s="109"/>
      <c r="E38" s="109"/>
      <c r="F38" s="109"/>
      <c r="G38" s="109"/>
      <c r="H38" s="109"/>
    </row>
    <row r="39" spans="1:8" x14ac:dyDescent="0.2">
      <c r="A39" s="18" t="s">
        <v>217</v>
      </c>
      <c r="B39" s="109">
        <f>Innovatie!C23</f>
        <v>9.3102127499999998</v>
      </c>
      <c r="C39" s="109">
        <f>Innovatie!D23</f>
        <v>38.161999999999999</v>
      </c>
      <c r="D39" s="109">
        <f>Innovatie!E23</f>
        <v>8.3119999999999994</v>
      </c>
      <c r="E39" s="109">
        <f>Innovatie!F23</f>
        <v>29.638999999999999</v>
      </c>
      <c r="F39" s="109">
        <f>Innovatie!G23</f>
        <v>16.291</v>
      </c>
      <c r="G39" s="109">
        <f>Innovatie!H23</f>
        <v>7.1890000000000001</v>
      </c>
      <c r="H39" s="109">
        <f>Innovatie!I23</f>
        <v>5.0110000000000001</v>
      </c>
    </row>
    <row r="40" spans="1:8" x14ac:dyDescent="0.2">
      <c r="A40" s="18" t="s">
        <v>218</v>
      </c>
      <c r="B40" s="109">
        <f>Innovatie!C54</f>
        <v>118.3789</v>
      </c>
      <c r="C40" s="109">
        <f>Innovatie!D54</f>
        <v>205.38970999999998</v>
      </c>
      <c r="D40" s="109">
        <f>Innovatie!E54</f>
        <v>148.74916999999999</v>
      </c>
      <c r="E40" s="109">
        <f>Innovatie!F54</f>
        <v>139.47980999999999</v>
      </c>
      <c r="F40" s="109">
        <f>Innovatie!G54</f>
        <v>135.68942000000001</v>
      </c>
      <c r="G40" s="109">
        <f>Innovatie!H54</f>
        <v>128.28012000000001</v>
      </c>
      <c r="H40" s="109">
        <f>Innovatie!I54</f>
        <v>125.47041999999999</v>
      </c>
    </row>
    <row r="41" spans="1:8" x14ac:dyDescent="0.2">
      <c r="A41" s="18" t="s">
        <v>219</v>
      </c>
      <c r="B41" s="111"/>
      <c r="C41" s="111"/>
      <c r="D41" s="111"/>
      <c r="E41" s="111"/>
      <c r="F41" s="111"/>
      <c r="G41" s="111"/>
      <c r="H41" s="111"/>
    </row>
    <row r="42" spans="1:8" x14ac:dyDescent="0.2">
      <c r="A42" s="18" t="s">
        <v>220</v>
      </c>
      <c r="B42" s="109">
        <f>Innovatie!C65</f>
        <v>2.8462420000000002</v>
      </c>
      <c r="C42" s="109">
        <f>Innovatie!D65</f>
        <v>2.5249999999999999</v>
      </c>
      <c r="D42" s="109">
        <f>Innovatie!E65</f>
        <v>3.7149999999999999</v>
      </c>
      <c r="E42" s="109">
        <f>Innovatie!F65</f>
        <v>1.7149999999999999</v>
      </c>
      <c r="F42" s="109">
        <f>Innovatie!G65</f>
        <v>1.7149999999999999</v>
      </c>
      <c r="G42" s="109">
        <f>Innovatie!H65</f>
        <v>1.25</v>
      </c>
      <c r="H42" s="109">
        <f>Innovatie!I65</f>
        <v>1.25</v>
      </c>
    </row>
    <row r="43" spans="1:8" s="106" customFormat="1" x14ac:dyDescent="0.2">
      <c r="A43" s="106" t="s">
        <v>210</v>
      </c>
      <c r="B43" s="110">
        <f t="shared" ref="B43:H43" si="4">SUM(B33:B42)</f>
        <v>139.31935475</v>
      </c>
      <c r="C43" s="110">
        <f t="shared" si="4"/>
        <v>261.19670999999994</v>
      </c>
      <c r="D43" s="110">
        <f t="shared" si="4"/>
        <v>180.98616999999999</v>
      </c>
      <c r="E43" s="110">
        <f t="shared" si="4"/>
        <v>195.54380999999998</v>
      </c>
      <c r="F43" s="110">
        <f t="shared" si="4"/>
        <v>197.64042000000003</v>
      </c>
      <c r="G43" s="110">
        <f t="shared" si="4"/>
        <v>173.41912000000002</v>
      </c>
      <c r="H43" s="110">
        <f t="shared" si="4"/>
        <v>161.38741999999999</v>
      </c>
    </row>
    <row r="45" spans="1:8" x14ac:dyDescent="0.2">
      <c r="A45" s="106" t="s">
        <v>358</v>
      </c>
    </row>
    <row r="46" spans="1:8" x14ac:dyDescent="0.2">
      <c r="B46" s="106">
        <f>B4</f>
        <v>2014</v>
      </c>
      <c r="C46" s="106">
        <f t="shared" ref="C46:H46" si="5">C4</f>
        <v>2015</v>
      </c>
      <c r="D46" s="106">
        <f t="shared" si="5"/>
        <v>2016</v>
      </c>
      <c r="E46" s="106">
        <f t="shared" si="5"/>
        <v>2017</v>
      </c>
      <c r="F46" s="106">
        <f t="shared" si="5"/>
        <v>2018</v>
      </c>
      <c r="G46" s="106">
        <f t="shared" si="5"/>
        <v>2019</v>
      </c>
      <c r="H46" s="106">
        <f t="shared" si="5"/>
        <v>2020</v>
      </c>
    </row>
    <row r="47" spans="1:8" x14ac:dyDescent="0.2">
      <c r="A47" s="18" t="s">
        <v>212</v>
      </c>
      <c r="B47" s="107">
        <f>+B5+B33</f>
        <v>0.45200000000000001</v>
      </c>
      <c r="C47" s="107">
        <f t="shared" ref="C47:E47" si="6">+C5+C33</f>
        <v>0.68899999999999995</v>
      </c>
      <c r="D47" s="107">
        <f t="shared" si="6"/>
        <v>0.59399999999999997</v>
      </c>
      <c r="E47" s="107">
        <f t="shared" si="6"/>
        <v>0.59399999999999997</v>
      </c>
      <c r="F47" s="107">
        <f t="shared" ref="F47:H47" si="7">+F5+F33</f>
        <v>0.59399999999999997</v>
      </c>
      <c r="G47" s="107">
        <f t="shared" si="7"/>
        <v>0.59399999999999997</v>
      </c>
      <c r="H47" s="107">
        <f t="shared" si="7"/>
        <v>0.59399999999999997</v>
      </c>
    </row>
    <row r="48" spans="1:8" s="4" customFormat="1" x14ac:dyDescent="0.2">
      <c r="A48" s="4" t="s">
        <v>213</v>
      </c>
      <c r="B48" s="82">
        <f t="shared" ref="B48:H56" si="8">+B6+B34</f>
        <v>42.844000000000001</v>
      </c>
      <c r="C48" s="82">
        <f t="shared" ref="C48:E48" si="9">+C6+C34</f>
        <v>45.113999999999997</v>
      </c>
      <c r="D48" s="82">
        <f t="shared" si="9"/>
        <v>43.8</v>
      </c>
      <c r="E48" s="82">
        <f t="shared" si="9"/>
        <v>42.701000000000001</v>
      </c>
      <c r="F48" s="82">
        <f t="shared" si="8"/>
        <v>42.701000000000001</v>
      </c>
      <c r="G48" s="82">
        <f t="shared" si="8"/>
        <v>42.701000000000001</v>
      </c>
      <c r="H48" s="82">
        <f t="shared" si="8"/>
        <v>42.701000000000001</v>
      </c>
    </row>
    <row r="49" spans="1:8" x14ac:dyDescent="0.2">
      <c r="A49" s="18" t="s">
        <v>214</v>
      </c>
      <c r="B49" s="107">
        <f t="shared" si="8"/>
        <v>21.279489256961618</v>
      </c>
      <c r="C49" s="107">
        <f t="shared" ref="C49:E49" si="10">+C7+C35</f>
        <v>21.38500910228149</v>
      </c>
      <c r="D49" s="107">
        <f t="shared" si="10"/>
        <v>20.730611092092477</v>
      </c>
      <c r="E49" s="107">
        <f t="shared" si="10"/>
        <v>20.38660101932755</v>
      </c>
      <c r="F49" s="107">
        <f t="shared" si="8"/>
        <v>20.202007133586513</v>
      </c>
      <c r="G49" s="107">
        <f t="shared" si="8"/>
        <v>20.236845228154259</v>
      </c>
      <c r="H49" s="107">
        <f t="shared" si="8"/>
        <v>20.246716021615121</v>
      </c>
    </row>
    <row r="50" spans="1:8" x14ac:dyDescent="0.2">
      <c r="A50" s="18" t="s">
        <v>215</v>
      </c>
      <c r="B50" s="107">
        <f t="shared" si="8"/>
        <v>21.41</v>
      </c>
      <c r="C50" s="107">
        <f t="shared" ref="C50:E50" si="11">+C8+C36</f>
        <v>21.966999999999999</v>
      </c>
      <c r="D50" s="107">
        <f t="shared" si="11"/>
        <v>18.260000000000002</v>
      </c>
      <c r="E50" s="107">
        <f t="shared" si="11"/>
        <v>18.14</v>
      </c>
      <c r="F50" s="107">
        <f t="shared" si="8"/>
        <v>16.088999999999999</v>
      </c>
      <c r="G50" s="107">
        <f t="shared" si="8"/>
        <v>15.923</v>
      </c>
      <c r="H50" s="107">
        <f t="shared" si="8"/>
        <v>17.14</v>
      </c>
    </row>
    <row r="51" spans="1:8" s="4" customFormat="1" x14ac:dyDescent="0.2">
      <c r="A51" s="4" t="s">
        <v>216</v>
      </c>
      <c r="B51" s="82">
        <f t="shared" si="8"/>
        <v>3508.1160000000004</v>
      </c>
      <c r="C51" s="82">
        <f t="shared" ref="C51:E51" si="12">+C9+C37</f>
        <v>3609.3318734261925</v>
      </c>
      <c r="D51" s="82">
        <f t="shared" si="12"/>
        <v>3571.5034253791064</v>
      </c>
      <c r="E51" s="82">
        <f t="shared" si="12"/>
        <v>3547.0599933758449</v>
      </c>
      <c r="F51" s="82">
        <f t="shared" si="8"/>
        <v>3541.9319908350199</v>
      </c>
      <c r="G51" s="82">
        <f t="shared" si="8"/>
        <v>3534.5243063013168</v>
      </c>
      <c r="H51" s="82">
        <f t="shared" si="8"/>
        <v>3539.0099847368037</v>
      </c>
    </row>
    <row r="52" spans="1:8" x14ac:dyDescent="0.2">
      <c r="A52" s="18" t="s">
        <v>90</v>
      </c>
      <c r="B52" s="107">
        <f t="shared" si="8"/>
        <v>59.402999999999999</v>
      </c>
      <c r="C52" s="107">
        <f t="shared" ref="C52:E52" si="13">+C10+C38</f>
        <v>61.105000000000004</v>
      </c>
      <c r="D52" s="107">
        <f t="shared" si="13"/>
        <v>57.174999999999997</v>
      </c>
      <c r="E52" s="107">
        <f t="shared" si="13"/>
        <v>56.954000000000008</v>
      </c>
      <c r="F52" s="107">
        <f t="shared" si="8"/>
        <v>56.957000000000001</v>
      </c>
      <c r="G52" s="107">
        <f t="shared" si="8"/>
        <v>56.957000000000001</v>
      </c>
      <c r="H52" s="107">
        <f t="shared" si="8"/>
        <v>56.957000000000001</v>
      </c>
    </row>
    <row r="53" spans="1:8" x14ac:dyDescent="0.2">
      <c r="A53" s="18" t="s">
        <v>217</v>
      </c>
      <c r="B53" s="107">
        <f t="shared" si="8"/>
        <v>77.187345559000065</v>
      </c>
      <c r="C53" s="107">
        <f t="shared" ref="C53:E53" si="14">+C11+C39</f>
        <v>109.26785709697126</v>
      </c>
      <c r="D53" s="107">
        <f t="shared" si="14"/>
        <v>74.33382718181997</v>
      </c>
      <c r="E53" s="107">
        <f t="shared" si="14"/>
        <v>98.939976143608419</v>
      </c>
      <c r="F53" s="107">
        <f t="shared" si="8"/>
        <v>67.013238104910954</v>
      </c>
      <c r="G53" s="107">
        <f t="shared" si="8"/>
        <v>57.581538389989618</v>
      </c>
      <c r="H53" s="107">
        <f t="shared" si="8"/>
        <v>53.764542728175371</v>
      </c>
    </row>
    <row r="54" spans="1:8" x14ac:dyDescent="0.2">
      <c r="A54" s="18" t="s">
        <v>218</v>
      </c>
      <c r="B54" s="107">
        <f t="shared" si="8"/>
        <v>1026.9606999999999</v>
      </c>
      <c r="C54" s="107">
        <f t="shared" ref="C54:E54" si="15">+C12+C40</f>
        <v>1176.1509600000002</v>
      </c>
      <c r="D54" s="107">
        <f t="shared" si="15"/>
        <v>1024.2597699999999</v>
      </c>
      <c r="E54" s="107">
        <f t="shared" si="15"/>
        <v>940.30665999999997</v>
      </c>
      <c r="F54" s="107">
        <f t="shared" si="8"/>
        <v>920.95087000000001</v>
      </c>
      <c r="G54" s="107">
        <f t="shared" si="8"/>
        <v>902.77656999999988</v>
      </c>
      <c r="H54" s="107">
        <f t="shared" si="8"/>
        <v>918.81196999999986</v>
      </c>
    </row>
    <row r="55" spans="1:8" x14ac:dyDescent="0.2">
      <c r="A55" s="18" t="s">
        <v>219</v>
      </c>
      <c r="B55" s="107">
        <f t="shared" si="8"/>
        <v>0.6</v>
      </c>
      <c r="C55" s="107">
        <f t="shared" ref="C55:E55" si="16">+C13+C41</f>
        <v>0.8</v>
      </c>
      <c r="D55" s="107">
        <f t="shared" si="16"/>
        <v>1.1000000000000001</v>
      </c>
      <c r="E55" s="107">
        <f t="shared" si="16"/>
        <v>0.9</v>
      </c>
      <c r="F55" s="107">
        <f t="shared" si="8"/>
        <v>0.9</v>
      </c>
      <c r="G55" s="107">
        <f t="shared" si="8"/>
        <v>0.9</v>
      </c>
      <c r="H55" s="107">
        <f t="shared" si="8"/>
        <v>0.9</v>
      </c>
    </row>
    <row r="56" spans="1:8" x14ac:dyDescent="0.2">
      <c r="A56" s="18" t="s">
        <v>220</v>
      </c>
      <c r="B56" s="107">
        <f t="shared" si="8"/>
        <v>254.87424200000004</v>
      </c>
      <c r="C56" s="107">
        <f t="shared" ref="C56:E56" si="17">+C14+C42</f>
        <v>235.55599999999998</v>
      </c>
      <c r="D56" s="107">
        <f t="shared" si="17"/>
        <v>230.68600000000001</v>
      </c>
      <c r="E56" s="107">
        <f t="shared" si="17"/>
        <v>207.10799999999998</v>
      </c>
      <c r="F56" s="107">
        <f t="shared" si="8"/>
        <v>190.54000000000002</v>
      </c>
      <c r="G56" s="107">
        <f t="shared" si="8"/>
        <v>198.27699999999999</v>
      </c>
      <c r="H56" s="107">
        <f t="shared" si="8"/>
        <v>193.511</v>
      </c>
    </row>
    <row r="57" spans="1:8" s="106" customFormat="1" x14ac:dyDescent="0.2">
      <c r="A57" s="106" t="s">
        <v>210</v>
      </c>
      <c r="B57" s="108">
        <f>SUM(B47:B56)</f>
        <v>5013.1267768159623</v>
      </c>
      <c r="C57" s="108">
        <f t="shared" ref="C57:H57" si="18">SUM(C47:C56)</f>
        <v>5281.3666996254451</v>
      </c>
      <c r="D57" s="108">
        <f t="shared" si="18"/>
        <v>5042.4426336530187</v>
      </c>
      <c r="E57" s="108">
        <f t="shared" si="18"/>
        <v>4933.0902305387808</v>
      </c>
      <c r="F57" s="108">
        <f t="shared" si="18"/>
        <v>4857.8791060735166</v>
      </c>
      <c r="G57" s="108">
        <f t="shared" si="18"/>
        <v>4830.47125991946</v>
      </c>
      <c r="H57" s="108">
        <f t="shared" si="18"/>
        <v>4843.636213486594</v>
      </c>
    </row>
  </sheetData>
  <pageMargins left="0.70866141732283472" right="0.70866141732283472" top="0.74803149606299213" bottom="0.74803149606299213" header="0.31496062992125984" footer="0.31496062992125984"/>
  <pageSetup paperSize="9" scale="88" orientation="portrait" horizontalDpi="300" verticalDpi="300" r:id="rId1"/>
  <headerFooter>
    <oddFooter>&amp;L&amp;Z&amp;F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workbookViewId="0"/>
  </sheetViews>
  <sheetFormatPr defaultRowHeight="15" x14ac:dyDescent="0.25"/>
  <cols>
    <col min="1" max="1" width="37.85546875" style="49" customWidth="1"/>
    <col min="2" max="8" width="9.140625" style="41"/>
    <col min="9" max="9" width="16.42578125" style="41" bestFit="1" customWidth="1"/>
    <col min="10" max="16384" width="9.140625" style="41"/>
  </cols>
  <sheetData>
    <row r="1" spans="1:9" ht="18.75" x14ac:dyDescent="0.3">
      <c r="A1" s="98" t="s">
        <v>317</v>
      </c>
    </row>
    <row r="3" spans="1:9" s="42" customFormat="1" x14ac:dyDescent="0.25">
      <c r="A3" s="50"/>
      <c r="B3" s="46">
        <v>2014</v>
      </c>
      <c r="C3" s="46">
        <v>2015</v>
      </c>
      <c r="D3" s="46">
        <v>2016</v>
      </c>
      <c r="E3" s="46">
        <v>2017</v>
      </c>
      <c r="F3" s="46">
        <v>2018</v>
      </c>
      <c r="G3" s="46">
        <v>2019</v>
      </c>
      <c r="H3" s="46">
        <v>2020</v>
      </c>
      <c r="I3" s="99" t="s">
        <v>344</v>
      </c>
    </row>
    <row r="4" spans="1:9" s="42" customFormat="1" x14ac:dyDescent="0.25">
      <c r="A4" s="147" t="s">
        <v>324</v>
      </c>
      <c r="B4" s="148"/>
      <c r="C4" s="148"/>
      <c r="D4" s="148"/>
      <c r="E4" s="148"/>
      <c r="F4" s="148"/>
      <c r="G4" s="148"/>
      <c r="H4" s="148"/>
      <c r="I4" s="149"/>
    </row>
    <row r="5" spans="1:9" x14ac:dyDescent="0.25">
      <c r="A5" s="52" t="s">
        <v>327</v>
      </c>
      <c r="B5" s="45">
        <v>788</v>
      </c>
      <c r="C5" s="45">
        <v>802</v>
      </c>
      <c r="D5" s="45">
        <v>1151</v>
      </c>
      <c r="E5" s="45">
        <v>1128</v>
      </c>
      <c r="F5" s="45">
        <v>1128</v>
      </c>
      <c r="G5" s="45">
        <v>1128</v>
      </c>
      <c r="H5" s="45">
        <v>1128</v>
      </c>
      <c r="I5" s="41">
        <v>100</v>
      </c>
    </row>
    <row r="6" spans="1:9" x14ac:dyDescent="0.25">
      <c r="A6" s="52" t="s">
        <v>326</v>
      </c>
      <c r="B6" s="45">
        <v>255</v>
      </c>
      <c r="C6" s="45">
        <v>238</v>
      </c>
      <c r="D6" s="45">
        <v>0</v>
      </c>
      <c r="E6" s="45">
        <v>0</v>
      </c>
      <c r="F6" s="45">
        <v>0</v>
      </c>
      <c r="G6" s="45">
        <v>0</v>
      </c>
      <c r="H6" s="45">
        <v>0</v>
      </c>
      <c r="I6" s="41">
        <v>100</v>
      </c>
    </row>
    <row r="7" spans="1:9" ht="15" customHeight="1" x14ac:dyDescent="0.25">
      <c r="A7" s="147" t="s">
        <v>337</v>
      </c>
      <c r="B7" s="150"/>
      <c r="C7" s="150"/>
      <c r="D7" s="150"/>
      <c r="E7" s="150"/>
      <c r="F7" s="150"/>
      <c r="G7" s="150"/>
      <c r="H7" s="150"/>
      <c r="I7" s="151"/>
    </row>
    <row r="8" spans="1:9" ht="15" customHeight="1" x14ac:dyDescent="0.25">
      <c r="A8" s="52" t="s">
        <v>325</v>
      </c>
      <c r="B8" s="91">
        <v>2.7389999999999999</v>
      </c>
      <c r="C8" s="91">
        <v>2.7759999999999998</v>
      </c>
      <c r="D8" s="91">
        <v>2.8</v>
      </c>
      <c r="E8" s="91">
        <v>2.85</v>
      </c>
      <c r="F8" s="91">
        <v>2.9</v>
      </c>
      <c r="G8" s="91">
        <v>3</v>
      </c>
      <c r="H8" s="91">
        <v>0</v>
      </c>
      <c r="I8" s="198">
        <f>0.199629259945815*100</f>
        <v>19.9629259945815</v>
      </c>
    </row>
    <row r="9" spans="1:9" s="42" customFormat="1" x14ac:dyDescent="0.25">
      <c r="A9" s="50" t="s">
        <v>210</v>
      </c>
      <c r="B9" s="90">
        <f>SUM(B5:B8)</f>
        <v>1045.739</v>
      </c>
      <c r="C9" s="90">
        <f t="shared" ref="C9:H9" si="0">SUM(C5:C8)</f>
        <v>1042.7760000000001</v>
      </c>
      <c r="D9" s="90">
        <f t="shared" si="0"/>
        <v>1153.8</v>
      </c>
      <c r="E9" s="90">
        <f t="shared" si="0"/>
        <v>1130.8499999999999</v>
      </c>
      <c r="F9" s="90">
        <f t="shared" si="0"/>
        <v>1130.9000000000001</v>
      </c>
      <c r="G9" s="90">
        <f t="shared" si="0"/>
        <v>1131</v>
      </c>
      <c r="H9" s="90">
        <f t="shared" si="0"/>
        <v>1128</v>
      </c>
    </row>
    <row r="11" spans="1:9" x14ac:dyDescent="0.25">
      <c r="A11" s="51" t="s">
        <v>510</v>
      </c>
    </row>
    <row r="12" spans="1:9" s="197" customFormat="1" x14ac:dyDescent="0.25">
      <c r="A12" s="51" t="s">
        <v>537</v>
      </c>
    </row>
    <row r="13" spans="1:9" x14ac:dyDescent="0.25">
      <c r="A13" s="51" t="s">
        <v>513</v>
      </c>
    </row>
    <row r="14" spans="1:9" x14ac:dyDescent="0.25">
      <c r="A14" s="211"/>
    </row>
    <row r="15" spans="1:9" x14ac:dyDescent="0.25">
      <c r="A15" s="49" t="s">
        <v>208</v>
      </c>
      <c r="B15" s="41" t="s">
        <v>320</v>
      </c>
    </row>
    <row r="16" spans="1:9" x14ac:dyDescent="0.25">
      <c r="A16" s="49" t="s">
        <v>209</v>
      </c>
      <c r="B16" s="41" t="s">
        <v>321</v>
      </c>
    </row>
    <row r="17" spans="1:2" x14ac:dyDescent="0.25">
      <c r="A17" s="49" t="s">
        <v>318</v>
      </c>
      <c r="B17" s="41" t="s">
        <v>323</v>
      </c>
    </row>
    <row r="18" spans="1:2" x14ac:dyDescent="0.25">
      <c r="A18" s="49" t="s">
        <v>319</v>
      </c>
      <c r="B18" s="41" t="s">
        <v>322</v>
      </c>
    </row>
    <row r="20" spans="1:2" x14ac:dyDescent="0.25">
      <c r="A20" s="51"/>
    </row>
    <row r="21" spans="1:2" x14ac:dyDescent="0.25">
      <c r="A21" s="41" t="s">
        <v>338</v>
      </c>
    </row>
    <row r="22" spans="1:2" x14ac:dyDescent="0.25">
      <c r="A22" s="41" t="s">
        <v>339</v>
      </c>
    </row>
    <row r="23" spans="1:2" x14ac:dyDescent="0.25">
      <c r="A23" s="41" t="s">
        <v>340</v>
      </c>
    </row>
    <row r="24" spans="1:2" x14ac:dyDescent="0.25">
      <c r="A24" s="41" t="s">
        <v>341</v>
      </c>
    </row>
    <row r="25" spans="1:2" x14ac:dyDescent="0.25">
      <c r="A25" s="41" t="s">
        <v>342</v>
      </c>
    </row>
    <row r="26" spans="1:2" s="197" customFormat="1" x14ac:dyDescent="0.25">
      <c r="A26" s="2" t="s">
        <v>343</v>
      </c>
    </row>
    <row r="27" spans="1:2" s="197" customFormat="1" x14ac:dyDescent="0.25"/>
    <row r="28" spans="1:2" s="197" customFormat="1" x14ac:dyDescent="0.25">
      <c r="A28" s="196"/>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80"/>
  <sheetViews>
    <sheetView workbookViewId="0"/>
  </sheetViews>
  <sheetFormatPr defaultRowHeight="12.75" x14ac:dyDescent="0.2"/>
  <cols>
    <col min="1" max="1" width="10" style="4" customWidth="1"/>
    <col min="2" max="2" width="38.140625" style="4" customWidth="1"/>
    <col min="3" max="3" width="10.28515625" style="4" customWidth="1"/>
    <col min="4" max="9" width="10.140625" style="4" bestFit="1" customWidth="1"/>
    <col min="10" max="10" width="10.85546875" style="4" customWidth="1"/>
    <col min="11" max="11" width="9.140625" style="4"/>
    <col min="12" max="12" width="12" style="4" customWidth="1"/>
    <col min="13" max="13" width="8.85546875" style="4" customWidth="1"/>
    <col min="14" max="14" width="6.28515625" style="4" customWidth="1"/>
    <col min="15" max="15" width="10.5703125" style="4" customWidth="1"/>
    <col min="16" max="16384" width="9.140625" style="4"/>
  </cols>
  <sheetData>
    <row r="1" spans="1:15" ht="18.75" x14ac:dyDescent="0.3">
      <c r="A1" s="28" t="s">
        <v>443</v>
      </c>
      <c r="B1" s="126"/>
      <c r="C1" s="126"/>
      <c r="D1" s="126"/>
      <c r="E1" s="126"/>
      <c r="F1" s="126"/>
      <c r="G1" s="126"/>
      <c r="H1" s="126"/>
      <c r="I1" s="126"/>
      <c r="J1" s="126"/>
      <c r="K1" s="126"/>
      <c r="L1" s="133"/>
      <c r="M1" s="126"/>
      <c r="N1" s="126"/>
      <c r="O1" s="13"/>
    </row>
    <row r="2" spans="1:15" x14ac:dyDescent="0.2">
      <c r="O2" s="13"/>
    </row>
    <row r="3" spans="1:15" x14ac:dyDescent="0.2">
      <c r="A3" s="27" t="s">
        <v>117</v>
      </c>
      <c r="B3" s="25" t="s">
        <v>118</v>
      </c>
      <c r="C3" s="1" t="s">
        <v>347</v>
      </c>
      <c r="D3" s="25" t="s">
        <v>119</v>
      </c>
      <c r="E3" s="25" t="s">
        <v>120</v>
      </c>
      <c r="F3" s="25" t="s">
        <v>121</v>
      </c>
      <c r="G3" s="25"/>
      <c r="H3" s="25"/>
      <c r="I3" s="25"/>
      <c r="J3" s="25" t="s">
        <v>0</v>
      </c>
      <c r="K3" s="26" t="s">
        <v>122</v>
      </c>
      <c r="L3" s="25" t="s">
        <v>86</v>
      </c>
      <c r="M3" s="25" t="s">
        <v>1</v>
      </c>
      <c r="N3" s="25" t="s">
        <v>2</v>
      </c>
      <c r="O3" s="76" t="s">
        <v>364</v>
      </c>
    </row>
    <row r="4" spans="1:15" x14ac:dyDescent="0.2">
      <c r="A4" s="27"/>
      <c r="B4" s="25"/>
      <c r="C4" s="1">
        <v>2014</v>
      </c>
      <c r="D4" s="1">
        <v>2015</v>
      </c>
      <c r="E4" s="1">
        <v>2016</v>
      </c>
      <c r="F4" s="1">
        <v>2017</v>
      </c>
      <c r="G4" s="1">
        <v>2018</v>
      </c>
      <c r="H4" s="1">
        <v>2019</v>
      </c>
      <c r="I4" s="1">
        <v>2020</v>
      </c>
      <c r="J4" s="25"/>
      <c r="K4" s="26"/>
      <c r="L4" s="25"/>
      <c r="M4" s="25"/>
      <c r="N4" s="25"/>
      <c r="O4" s="76" t="s">
        <v>365</v>
      </c>
    </row>
    <row r="5" spans="1:15" s="1" customFormat="1" x14ac:dyDescent="0.2">
      <c r="O5" s="76"/>
    </row>
    <row r="6" spans="1:15" s="3" customFormat="1" ht="15" x14ac:dyDescent="0.25">
      <c r="A6" s="15"/>
      <c r="B6" s="15" t="s">
        <v>65</v>
      </c>
      <c r="C6" s="15"/>
      <c r="D6" s="15"/>
      <c r="E6" s="15"/>
      <c r="F6" s="15"/>
      <c r="G6" s="15"/>
      <c r="H6" s="15"/>
      <c r="I6" s="15"/>
      <c r="J6" s="15"/>
      <c r="K6" s="15"/>
      <c r="L6" s="14"/>
      <c r="M6" s="15"/>
      <c r="N6" s="15"/>
      <c r="O6" s="15"/>
    </row>
    <row r="7" spans="1:15" ht="25.5" x14ac:dyDescent="0.2">
      <c r="A7" s="7" t="s">
        <v>96</v>
      </c>
      <c r="B7" s="21" t="s">
        <v>94</v>
      </c>
      <c r="C7" s="133">
        <v>0.45200000000000001</v>
      </c>
      <c r="D7" s="133">
        <v>0.68899999999999995</v>
      </c>
      <c r="E7" s="133">
        <v>0.59399999999999997</v>
      </c>
      <c r="F7" s="133">
        <v>0.59399999999999997</v>
      </c>
      <c r="G7" s="133">
        <v>0.59399999999999997</v>
      </c>
      <c r="H7" s="133">
        <v>0.59399999999999997</v>
      </c>
      <c r="I7" s="133">
        <v>0.59399999999999997</v>
      </c>
      <c r="J7" s="4">
        <v>100</v>
      </c>
      <c r="K7" s="4">
        <v>11</v>
      </c>
      <c r="L7" s="133" t="s">
        <v>95</v>
      </c>
      <c r="M7" s="4" t="s">
        <v>12</v>
      </c>
      <c r="N7" s="4" t="s">
        <v>63</v>
      </c>
      <c r="O7" s="13">
        <v>0</v>
      </c>
    </row>
    <row r="8" spans="1:15" s="1" customFormat="1" ht="15" x14ac:dyDescent="0.25">
      <c r="A8" s="92"/>
      <c r="B8" s="22" t="s">
        <v>101</v>
      </c>
      <c r="C8" s="131">
        <f>C7</f>
        <v>0.45200000000000001</v>
      </c>
      <c r="D8" s="131">
        <f t="shared" ref="D8:I8" si="0">D7</f>
        <v>0.68899999999999995</v>
      </c>
      <c r="E8" s="131">
        <f t="shared" si="0"/>
        <v>0.59399999999999997</v>
      </c>
      <c r="F8" s="131">
        <f t="shared" si="0"/>
        <v>0.59399999999999997</v>
      </c>
      <c r="G8" s="131">
        <f t="shared" si="0"/>
        <v>0.59399999999999997</v>
      </c>
      <c r="H8" s="131">
        <f t="shared" si="0"/>
        <v>0.59399999999999997</v>
      </c>
      <c r="I8" s="131">
        <f t="shared" si="0"/>
        <v>0.59399999999999997</v>
      </c>
      <c r="L8" s="25"/>
      <c r="O8" s="76"/>
    </row>
    <row r="9" spans="1:15" s="3" customFormat="1" ht="15" x14ac:dyDescent="0.25">
      <c r="A9" s="1"/>
      <c r="B9" s="1"/>
      <c r="C9" s="63"/>
      <c r="D9" s="63"/>
      <c r="E9" s="63"/>
      <c r="F9" s="63"/>
      <c r="G9" s="63"/>
      <c r="H9" s="63"/>
      <c r="I9" s="63"/>
      <c r="J9" s="1"/>
      <c r="K9" s="1"/>
      <c r="L9" s="1"/>
      <c r="M9" s="1"/>
      <c r="N9" s="1"/>
      <c r="O9" s="76"/>
    </row>
    <row r="10" spans="1:15" s="7" customFormat="1" ht="15" x14ac:dyDescent="0.25">
      <c r="A10" s="15"/>
      <c r="B10" s="15" t="s">
        <v>66</v>
      </c>
      <c r="C10" s="64"/>
      <c r="D10" s="64"/>
      <c r="E10" s="64"/>
      <c r="F10" s="64"/>
      <c r="G10" s="64"/>
      <c r="H10" s="64"/>
      <c r="I10" s="64"/>
      <c r="J10" s="15"/>
      <c r="K10" s="15"/>
      <c r="L10" s="14"/>
      <c r="M10" s="15"/>
      <c r="N10" s="15"/>
      <c r="O10" s="15"/>
    </row>
    <row r="11" spans="1:15" s="7" customFormat="1" x14ac:dyDescent="0.2">
      <c r="A11" s="7" t="s">
        <v>228</v>
      </c>
      <c r="B11" s="7" t="s">
        <v>229</v>
      </c>
      <c r="C11" s="215">
        <v>0.24099999999999999</v>
      </c>
      <c r="D11" s="215">
        <v>0.23199999999999998</v>
      </c>
      <c r="E11" s="215">
        <v>0.23199999999999998</v>
      </c>
      <c r="F11" s="215">
        <v>0.23199999999999998</v>
      </c>
      <c r="G11" s="215">
        <v>0.23199999999999998</v>
      </c>
      <c r="H11" s="215">
        <v>0.23199999999999998</v>
      </c>
      <c r="I11" s="215">
        <v>0.23199999999999998</v>
      </c>
      <c r="J11" s="7">
        <v>10</v>
      </c>
      <c r="K11" s="133">
        <v>11</v>
      </c>
      <c r="L11" s="133" t="s">
        <v>95</v>
      </c>
      <c r="M11" s="7" t="s">
        <v>10</v>
      </c>
      <c r="N11" s="7" t="s">
        <v>62</v>
      </c>
      <c r="O11" s="78"/>
    </row>
    <row r="12" spans="1:15" s="7" customFormat="1" x14ac:dyDescent="0.2">
      <c r="A12" s="7" t="s">
        <v>399</v>
      </c>
      <c r="B12" s="7" t="s">
        <v>247</v>
      </c>
      <c r="C12" s="215">
        <v>0.20300000000000001</v>
      </c>
      <c r="D12" s="215">
        <v>0</v>
      </c>
      <c r="E12" s="215">
        <v>0</v>
      </c>
      <c r="F12" s="215">
        <v>0</v>
      </c>
      <c r="G12" s="215">
        <v>0</v>
      </c>
      <c r="H12" s="215">
        <v>0</v>
      </c>
      <c r="I12" s="215">
        <v>0</v>
      </c>
      <c r="J12" s="7">
        <v>25</v>
      </c>
      <c r="K12" s="133">
        <v>11</v>
      </c>
      <c r="L12" s="133" t="s">
        <v>95</v>
      </c>
      <c r="M12" s="7" t="s">
        <v>10</v>
      </c>
      <c r="N12" s="7" t="s">
        <v>62</v>
      </c>
      <c r="O12" s="78"/>
    </row>
    <row r="13" spans="1:15" s="7" customFormat="1" x14ac:dyDescent="0.2">
      <c r="A13" s="7" t="s">
        <v>400</v>
      </c>
      <c r="B13" s="7" t="s">
        <v>230</v>
      </c>
      <c r="C13" s="215">
        <v>7.2709999999999999</v>
      </c>
      <c r="D13" s="215">
        <v>4.3630000000000004</v>
      </c>
      <c r="E13" s="215">
        <v>4</v>
      </c>
      <c r="F13" s="215">
        <v>4</v>
      </c>
      <c r="G13" s="215">
        <v>4</v>
      </c>
      <c r="H13" s="215">
        <v>4</v>
      </c>
      <c r="I13" s="215">
        <v>4</v>
      </c>
      <c r="J13" s="7">
        <v>100</v>
      </c>
      <c r="K13" s="133">
        <v>11</v>
      </c>
      <c r="L13" s="133" t="s">
        <v>95</v>
      </c>
      <c r="M13" s="7" t="s">
        <v>15</v>
      </c>
      <c r="N13" s="7" t="s">
        <v>63</v>
      </c>
      <c r="O13" s="78"/>
    </row>
    <row r="14" spans="1:15" s="7" customFormat="1" x14ac:dyDescent="0.2">
      <c r="A14" s="7" t="s">
        <v>255</v>
      </c>
      <c r="B14" s="7" t="s">
        <v>401</v>
      </c>
      <c r="C14" s="69">
        <v>23.916</v>
      </c>
      <c r="D14" s="69">
        <v>26.035</v>
      </c>
      <c r="E14" s="69">
        <v>23.641999999999999</v>
      </c>
      <c r="F14" s="69">
        <v>22.46</v>
      </c>
      <c r="G14" s="69">
        <v>22.46</v>
      </c>
      <c r="H14" s="69">
        <v>22.46</v>
      </c>
      <c r="I14" s="69">
        <v>22.46</v>
      </c>
      <c r="J14" s="7">
        <v>5</v>
      </c>
      <c r="K14" s="133">
        <v>11</v>
      </c>
      <c r="L14" s="133" t="s">
        <v>95</v>
      </c>
      <c r="M14" s="7" t="s">
        <v>15</v>
      </c>
      <c r="N14" s="7" t="s">
        <v>63</v>
      </c>
      <c r="O14" s="78"/>
    </row>
    <row r="15" spans="1:15" s="7" customFormat="1" x14ac:dyDescent="0.2">
      <c r="A15" s="4" t="s">
        <v>402</v>
      </c>
      <c r="B15" s="4" t="s">
        <v>403</v>
      </c>
      <c r="C15" s="66">
        <v>6.25</v>
      </c>
      <c r="D15" s="66">
        <v>8.3089999999999993</v>
      </c>
      <c r="E15" s="66">
        <v>9.3810000000000002</v>
      </c>
      <c r="F15" s="66">
        <v>9.1310000000000002</v>
      </c>
      <c r="G15" s="66">
        <v>9.1310000000000002</v>
      </c>
      <c r="H15" s="66">
        <v>9.1310000000000002</v>
      </c>
      <c r="I15" s="66">
        <v>9.1310000000000002</v>
      </c>
      <c r="J15" s="4">
        <v>5</v>
      </c>
      <c r="K15" s="133">
        <v>11</v>
      </c>
      <c r="L15" s="133" t="s">
        <v>95</v>
      </c>
      <c r="M15" s="7" t="s">
        <v>15</v>
      </c>
      <c r="N15" s="7" t="s">
        <v>63</v>
      </c>
      <c r="O15" s="13"/>
    </row>
    <row r="16" spans="1:15" s="1" customFormat="1" x14ac:dyDescent="0.2">
      <c r="A16" s="4" t="s">
        <v>404</v>
      </c>
      <c r="B16" s="4" t="s">
        <v>405</v>
      </c>
      <c r="C16" s="66">
        <v>4.9630000000000001</v>
      </c>
      <c r="D16" s="66">
        <v>6.1749999999999998</v>
      </c>
      <c r="E16" s="66">
        <v>6.5449999999999999</v>
      </c>
      <c r="F16" s="66">
        <v>6.8780000000000001</v>
      </c>
      <c r="G16" s="66">
        <v>6.8780000000000001</v>
      </c>
      <c r="H16" s="66">
        <v>6.8780000000000001</v>
      </c>
      <c r="I16" s="66">
        <v>6.8780000000000001</v>
      </c>
      <c r="J16" s="4">
        <v>5</v>
      </c>
      <c r="K16" s="133">
        <v>11</v>
      </c>
      <c r="L16" s="133" t="s">
        <v>95</v>
      </c>
      <c r="M16" s="7" t="s">
        <v>15</v>
      </c>
      <c r="N16" s="7" t="s">
        <v>63</v>
      </c>
      <c r="O16" s="13"/>
    </row>
    <row r="17" spans="1:15" s="1" customFormat="1" ht="15" x14ac:dyDescent="0.25">
      <c r="A17" s="3"/>
      <c r="B17" s="3" t="s">
        <v>102</v>
      </c>
      <c r="C17" s="12">
        <v>42.844000000000001</v>
      </c>
      <c r="D17" s="12">
        <v>45.113999999999997</v>
      </c>
      <c r="E17" s="12">
        <v>43.8</v>
      </c>
      <c r="F17" s="12">
        <v>42.701000000000001</v>
      </c>
      <c r="G17" s="12">
        <v>42.701000000000001</v>
      </c>
      <c r="H17" s="12">
        <v>42.701000000000001</v>
      </c>
      <c r="I17" s="12">
        <v>42.701000000000001</v>
      </c>
      <c r="J17" s="3"/>
      <c r="K17" s="3"/>
      <c r="L17" s="3"/>
      <c r="M17" s="3"/>
      <c r="N17" s="3"/>
      <c r="O17" s="77"/>
    </row>
    <row r="18" spans="1:15" x14ac:dyDescent="0.2">
      <c r="A18" s="1"/>
      <c r="B18" s="1"/>
      <c r="C18" s="63"/>
      <c r="D18" s="63"/>
      <c r="E18" s="63"/>
      <c r="F18" s="63"/>
      <c r="G18" s="63"/>
      <c r="H18" s="63"/>
      <c r="I18" s="63"/>
      <c r="J18" s="1"/>
      <c r="K18" s="1"/>
      <c r="L18" s="1"/>
      <c r="M18" s="1"/>
      <c r="N18" s="1"/>
      <c r="O18" s="76"/>
    </row>
    <row r="19" spans="1:15" ht="15" x14ac:dyDescent="0.25">
      <c r="A19" s="14"/>
      <c r="B19" s="15" t="s">
        <v>67</v>
      </c>
      <c r="C19" s="65"/>
      <c r="D19" s="65"/>
      <c r="E19" s="65"/>
      <c r="F19" s="65"/>
      <c r="G19" s="65"/>
      <c r="H19" s="65"/>
      <c r="I19" s="65"/>
      <c r="J19" s="14"/>
      <c r="K19" s="14"/>
      <c r="L19" s="14"/>
      <c r="M19" s="14"/>
      <c r="N19" s="14"/>
      <c r="O19" s="14"/>
    </row>
    <row r="20" spans="1:15" x14ac:dyDescent="0.2">
      <c r="A20" s="168" t="s">
        <v>107</v>
      </c>
      <c r="B20" s="133" t="s">
        <v>109</v>
      </c>
      <c r="C20" s="134">
        <v>0.34</v>
      </c>
      <c r="D20" s="134">
        <v>0</v>
      </c>
      <c r="E20" s="134">
        <v>0</v>
      </c>
      <c r="F20" s="134">
        <v>0</v>
      </c>
      <c r="G20" s="134">
        <v>0</v>
      </c>
      <c r="H20" s="134">
        <v>0</v>
      </c>
      <c r="I20" s="134">
        <v>0</v>
      </c>
      <c r="J20" s="133">
        <v>100</v>
      </c>
      <c r="K20" s="133">
        <v>11</v>
      </c>
      <c r="L20" s="133" t="s">
        <v>95</v>
      </c>
      <c r="M20" s="133" t="s">
        <v>110</v>
      </c>
      <c r="N20" s="133" t="s">
        <v>62</v>
      </c>
      <c r="O20" s="13">
        <v>10</v>
      </c>
    </row>
    <row r="21" spans="1:15" x14ac:dyDescent="0.2">
      <c r="A21" s="168" t="s">
        <v>107</v>
      </c>
      <c r="B21" s="133" t="s">
        <v>111</v>
      </c>
      <c r="C21" s="134">
        <v>2.37</v>
      </c>
      <c r="D21" s="134">
        <v>2.5760000000000001</v>
      </c>
      <c r="E21" s="134">
        <v>2.3969999999999998</v>
      </c>
      <c r="F21" s="134">
        <v>2.3959999999999999</v>
      </c>
      <c r="G21" s="134">
        <v>2.3849999999999998</v>
      </c>
      <c r="H21" s="134">
        <v>2.3849999999999998</v>
      </c>
      <c r="I21" s="134">
        <v>2.3849999999999998</v>
      </c>
      <c r="J21" s="133">
        <v>10</v>
      </c>
      <c r="K21" s="133">
        <v>11</v>
      </c>
      <c r="L21" s="133" t="s">
        <v>95</v>
      </c>
      <c r="M21" s="133" t="s">
        <v>112</v>
      </c>
      <c r="N21" s="4" t="s">
        <v>63</v>
      </c>
      <c r="O21" s="13">
        <v>0</v>
      </c>
    </row>
    <row r="22" spans="1:15" x14ac:dyDescent="0.2">
      <c r="A22" s="168" t="s">
        <v>107</v>
      </c>
      <c r="B22" s="133" t="s">
        <v>113</v>
      </c>
      <c r="C22" s="134">
        <v>2.37</v>
      </c>
      <c r="D22" s="134">
        <v>2.5760000000000001</v>
      </c>
      <c r="E22" s="134">
        <v>2.3959999999999999</v>
      </c>
      <c r="F22" s="134">
        <v>2.3959999999999999</v>
      </c>
      <c r="G22" s="134">
        <v>2.3860000000000001</v>
      </c>
      <c r="H22" s="134">
        <v>2.3860000000000001</v>
      </c>
      <c r="I22" s="134">
        <v>2.3860000000000001</v>
      </c>
      <c r="J22" s="133">
        <v>10</v>
      </c>
      <c r="K22" s="133">
        <v>11</v>
      </c>
      <c r="L22" s="133" t="s">
        <v>95</v>
      </c>
      <c r="M22" s="133" t="s">
        <v>10</v>
      </c>
      <c r="N22" s="4" t="s">
        <v>63</v>
      </c>
      <c r="O22" s="13">
        <v>0</v>
      </c>
    </row>
    <row r="23" spans="1:15" x14ac:dyDescent="0.2">
      <c r="A23" s="168" t="s">
        <v>107</v>
      </c>
      <c r="B23" s="133" t="s">
        <v>114</v>
      </c>
      <c r="C23" s="134">
        <v>6.4560000000000004</v>
      </c>
      <c r="D23" s="134">
        <v>6.7</v>
      </c>
      <c r="E23" s="134">
        <v>6.7</v>
      </c>
      <c r="F23" s="134">
        <v>6.7</v>
      </c>
      <c r="G23" s="134">
        <v>6.7</v>
      </c>
      <c r="H23" s="134">
        <v>6.7</v>
      </c>
      <c r="I23" s="134">
        <v>6.7</v>
      </c>
      <c r="J23" s="133">
        <v>15</v>
      </c>
      <c r="K23" s="133">
        <v>11</v>
      </c>
      <c r="L23" s="133" t="s">
        <v>95</v>
      </c>
      <c r="M23" s="133" t="s">
        <v>12</v>
      </c>
      <c r="N23" s="133" t="s">
        <v>62</v>
      </c>
      <c r="O23" s="13">
        <v>0</v>
      </c>
    </row>
    <row r="24" spans="1:15" x14ac:dyDescent="0.2">
      <c r="A24" s="168" t="s">
        <v>444</v>
      </c>
      <c r="B24" s="133" t="s">
        <v>116</v>
      </c>
      <c r="C24" s="134">
        <v>9.7434892569616185</v>
      </c>
      <c r="D24" s="134">
        <v>9.5330091022814898</v>
      </c>
      <c r="E24" s="134">
        <v>9.2376110920924788</v>
      </c>
      <c r="F24" s="134">
        <v>8.8946010193275509</v>
      </c>
      <c r="G24" s="134">
        <v>8.7310071335865125</v>
      </c>
      <c r="H24" s="134">
        <v>8.7658452281542569</v>
      </c>
      <c r="I24" s="134">
        <v>8.7757160216151195</v>
      </c>
      <c r="J24" s="167">
        <v>14.52</v>
      </c>
      <c r="K24" s="133">
        <v>11</v>
      </c>
      <c r="L24" s="133" t="s">
        <v>95</v>
      </c>
      <c r="M24" s="133" t="s">
        <v>12</v>
      </c>
      <c r="N24" s="133" t="s">
        <v>62</v>
      </c>
      <c r="O24" s="13">
        <v>80</v>
      </c>
    </row>
    <row r="25" spans="1:15" s="3" customFormat="1" ht="15" x14ac:dyDescent="0.25">
      <c r="A25" s="92"/>
      <c r="B25" s="3" t="s">
        <v>103</v>
      </c>
      <c r="C25" s="12">
        <f>SUM(C20:C24)</f>
        <v>21.279489256961618</v>
      </c>
      <c r="D25" s="12">
        <f t="shared" ref="D25:I25" si="1">SUM(D20:D24)</f>
        <v>21.38500910228149</v>
      </c>
      <c r="E25" s="12">
        <f t="shared" si="1"/>
        <v>20.730611092092477</v>
      </c>
      <c r="F25" s="12">
        <f t="shared" si="1"/>
        <v>20.38660101932755</v>
      </c>
      <c r="G25" s="12">
        <f t="shared" si="1"/>
        <v>20.202007133586513</v>
      </c>
      <c r="H25" s="12">
        <f t="shared" si="1"/>
        <v>20.236845228154259</v>
      </c>
      <c r="I25" s="12">
        <f t="shared" si="1"/>
        <v>20.246716021615121</v>
      </c>
      <c r="L25" s="1"/>
      <c r="O25" s="77"/>
    </row>
    <row r="26" spans="1:15" ht="15" x14ac:dyDescent="0.25">
      <c r="A26" s="3"/>
      <c r="B26" s="3"/>
      <c r="C26" s="12"/>
      <c r="D26" s="12"/>
      <c r="E26" s="12"/>
      <c r="F26" s="12"/>
      <c r="G26" s="12"/>
      <c r="H26" s="12"/>
      <c r="I26" s="12"/>
      <c r="J26" s="3"/>
      <c r="K26" s="3"/>
      <c r="L26" s="1"/>
      <c r="M26" s="3"/>
      <c r="N26" s="3"/>
      <c r="O26" s="77"/>
    </row>
    <row r="27" spans="1:15" s="3" customFormat="1" ht="15" x14ac:dyDescent="0.25">
      <c r="A27" s="15"/>
      <c r="B27" s="15" t="s">
        <v>105</v>
      </c>
      <c r="C27" s="64"/>
      <c r="D27" s="64"/>
      <c r="E27" s="64"/>
      <c r="F27" s="64"/>
      <c r="G27" s="64"/>
      <c r="H27" s="64"/>
      <c r="I27" s="64"/>
      <c r="J27" s="15"/>
      <c r="K27" s="15"/>
      <c r="L27" s="14"/>
      <c r="M27" s="15"/>
      <c r="N27" s="15"/>
      <c r="O27" s="15"/>
    </row>
    <row r="28" spans="1:15" s="3" customFormat="1" ht="15" x14ac:dyDescent="0.25">
      <c r="A28" s="7" t="s">
        <v>399</v>
      </c>
      <c r="B28" s="133" t="s">
        <v>406</v>
      </c>
      <c r="C28" s="134">
        <v>0.27200000000000002</v>
      </c>
      <c r="D28" s="134">
        <v>0.27500000000000002</v>
      </c>
      <c r="E28" s="134">
        <v>0.27500000000000002</v>
      </c>
      <c r="F28" s="134">
        <v>0.27500000000000002</v>
      </c>
      <c r="G28" s="134">
        <v>0.27500000000000002</v>
      </c>
      <c r="H28" s="134">
        <v>0.27500000000000002</v>
      </c>
      <c r="I28" s="134">
        <v>0.27500000000000002</v>
      </c>
      <c r="J28" s="133">
        <v>100</v>
      </c>
      <c r="K28" s="133">
        <v>11</v>
      </c>
      <c r="L28" s="133" t="s">
        <v>95</v>
      </c>
      <c r="M28" s="8" t="s">
        <v>22</v>
      </c>
      <c r="N28" s="133" t="s">
        <v>63</v>
      </c>
      <c r="O28" s="1"/>
    </row>
    <row r="29" spans="1:15" s="3" customFormat="1" ht="15" x14ac:dyDescent="0.25">
      <c r="A29" s="168" t="s">
        <v>314</v>
      </c>
      <c r="B29" s="133" t="s">
        <v>373</v>
      </c>
      <c r="C29" s="134">
        <v>2.4689999999999999</v>
      </c>
      <c r="D29" s="134">
        <v>2.9329999999999998</v>
      </c>
      <c r="E29" s="134">
        <v>2.383</v>
      </c>
      <c r="F29" s="134">
        <v>2.383</v>
      </c>
      <c r="G29" s="134">
        <v>2.383</v>
      </c>
      <c r="H29" s="134">
        <v>2.383</v>
      </c>
      <c r="I29" s="134">
        <v>2.383</v>
      </c>
      <c r="J29" s="133">
        <v>100</v>
      </c>
      <c r="K29" s="133">
        <v>11</v>
      </c>
      <c r="L29" s="133" t="s">
        <v>95</v>
      </c>
      <c r="M29" s="8" t="s">
        <v>31</v>
      </c>
      <c r="N29" s="133" t="s">
        <v>63</v>
      </c>
      <c r="O29" s="1"/>
    </row>
    <row r="30" spans="1:15" s="3" customFormat="1" ht="15" x14ac:dyDescent="0.25">
      <c r="A30" s="168" t="s">
        <v>314</v>
      </c>
      <c r="B30" s="133" t="s">
        <v>407</v>
      </c>
      <c r="C30" s="134">
        <v>0.21199999999999999</v>
      </c>
      <c r="D30" s="134">
        <v>0.39500000000000002</v>
      </c>
      <c r="E30" s="134">
        <v>0.3</v>
      </c>
      <c r="F30" s="134">
        <v>0.3</v>
      </c>
      <c r="G30" s="134">
        <v>0.3</v>
      </c>
      <c r="H30" s="134">
        <v>0.3</v>
      </c>
      <c r="I30" s="134">
        <v>0.3</v>
      </c>
      <c r="J30" s="133">
        <v>100</v>
      </c>
      <c r="K30" s="133">
        <v>11</v>
      </c>
      <c r="L30" s="133" t="s">
        <v>95</v>
      </c>
      <c r="M30" s="8" t="s">
        <v>22</v>
      </c>
      <c r="N30" s="133" t="s">
        <v>63</v>
      </c>
      <c r="O30" s="1"/>
    </row>
    <row r="31" spans="1:15" s="3" customFormat="1" ht="15" x14ac:dyDescent="0.25">
      <c r="A31" s="168" t="s">
        <v>374</v>
      </c>
      <c r="B31" s="133" t="s">
        <v>375</v>
      </c>
      <c r="C31" s="134">
        <v>11.949</v>
      </c>
      <c r="D31" s="134">
        <v>12.845000000000001</v>
      </c>
      <c r="E31" s="134">
        <v>10.917</v>
      </c>
      <c r="F31" s="134">
        <v>10.831</v>
      </c>
      <c r="G31" s="134">
        <v>9.3680000000000003</v>
      </c>
      <c r="H31" s="134">
        <v>9.25</v>
      </c>
      <c r="I31" s="134">
        <v>9.8309999999999995</v>
      </c>
      <c r="J31" s="133">
        <v>80</v>
      </c>
      <c r="K31" s="133">
        <v>4</v>
      </c>
      <c r="L31" s="133" t="s">
        <v>173</v>
      </c>
      <c r="M31" s="8" t="s">
        <v>16</v>
      </c>
      <c r="N31" s="133" t="s">
        <v>63</v>
      </c>
      <c r="O31" s="4">
        <v>10</v>
      </c>
    </row>
    <row r="32" spans="1:15" s="3" customFormat="1" ht="15" x14ac:dyDescent="0.25">
      <c r="A32" s="168" t="s">
        <v>374</v>
      </c>
      <c r="B32" s="133" t="s">
        <v>375</v>
      </c>
      <c r="C32" s="134">
        <v>0.19600000000000001</v>
      </c>
      <c r="D32" s="134">
        <v>0.21099999999999999</v>
      </c>
      <c r="E32" s="134">
        <v>0.17899999999999999</v>
      </c>
      <c r="F32" s="134">
        <v>0.17799999999999999</v>
      </c>
      <c r="G32" s="134">
        <v>0.154</v>
      </c>
      <c r="H32" s="134">
        <v>0.152</v>
      </c>
      <c r="I32" s="134">
        <v>0.17799999999999999</v>
      </c>
      <c r="J32" s="133">
        <v>80</v>
      </c>
      <c r="K32" s="133">
        <v>4</v>
      </c>
      <c r="L32" s="133" t="s">
        <v>173</v>
      </c>
      <c r="M32" s="8" t="s">
        <v>112</v>
      </c>
      <c r="N32" s="133" t="s">
        <v>63</v>
      </c>
      <c r="O32" s="4">
        <v>10</v>
      </c>
    </row>
    <row r="33" spans="1:15" s="3" customFormat="1" ht="15" x14ac:dyDescent="0.25">
      <c r="A33" s="168" t="s">
        <v>374</v>
      </c>
      <c r="B33" s="133" t="s">
        <v>375</v>
      </c>
      <c r="C33" s="134">
        <v>4.6029999999999998</v>
      </c>
      <c r="D33" s="134">
        <v>4.9480000000000004</v>
      </c>
      <c r="E33" s="134">
        <v>4.2060000000000004</v>
      </c>
      <c r="F33" s="134">
        <v>4.173</v>
      </c>
      <c r="G33" s="134">
        <v>3.609</v>
      </c>
      <c r="H33" s="134">
        <v>3.5630000000000002</v>
      </c>
      <c r="I33" s="134">
        <v>4.173</v>
      </c>
      <c r="J33" s="133">
        <v>80</v>
      </c>
      <c r="K33" s="133">
        <v>4</v>
      </c>
      <c r="L33" s="133" t="s">
        <v>173</v>
      </c>
      <c r="M33" s="8" t="s">
        <v>10</v>
      </c>
      <c r="N33" s="133" t="s">
        <v>63</v>
      </c>
      <c r="O33" s="4">
        <v>10</v>
      </c>
    </row>
    <row r="34" spans="1:15" s="3" customFormat="1" ht="15" x14ac:dyDescent="0.25">
      <c r="A34" s="92"/>
      <c r="B34" s="3" t="s">
        <v>106</v>
      </c>
      <c r="C34" s="6">
        <f>SUM(C28:C33)</f>
        <v>19.701000000000001</v>
      </c>
      <c r="D34" s="6">
        <f t="shared" ref="D34:I34" si="2">SUM(D28:D33)</f>
        <v>21.606999999999999</v>
      </c>
      <c r="E34" s="6">
        <f t="shared" si="2"/>
        <v>18.260000000000002</v>
      </c>
      <c r="F34" s="6">
        <f t="shared" si="2"/>
        <v>18.14</v>
      </c>
      <c r="G34" s="6">
        <f t="shared" si="2"/>
        <v>16.088999999999999</v>
      </c>
      <c r="H34" s="6">
        <f t="shared" si="2"/>
        <v>15.923</v>
      </c>
      <c r="I34" s="6">
        <f t="shared" si="2"/>
        <v>17.14</v>
      </c>
      <c r="L34" s="1"/>
      <c r="O34" s="77"/>
    </row>
    <row r="35" spans="1:15" s="3" customFormat="1" ht="15" x14ac:dyDescent="0.25">
      <c r="A35" s="1"/>
      <c r="B35" s="1"/>
      <c r="C35" s="63" t="s">
        <v>231</v>
      </c>
      <c r="D35" s="63"/>
      <c r="E35" s="63"/>
      <c r="F35" s="63"/>
      <c r="G35" s="63"/>
      <c r="H35" s="63"/>
      <c r="I35" s="63"/>
      <c r="J35" s="1"/>
      <c r="K35" s="1"/>
      <c r="L35" s="1"/>
      <c r="M35" s="1"/>
      <c r="N35" s="1"/>
      <c r="O35" s="76"/>
    </row>
    <row r="36" spans="1:15" s="3" customFormat="1" ht="15" x14ac:dyDescent="0.25">
      <c r="A36" s="14"/>
      <c r="B36" s="15" t="s">
        <v>68</v>
      </c>
      <c r="C36" s="195"/>
      <c r="D36" s="65"/>
      <c r="E36" s="65"/>
      <c r="F36" s="65"/>
      <c r="G36" s="65"/>
      <c r="H36" s="65"/>
      <c r="I36" s="65"/>
      <c r="J36" s="14"/>
      <c r="K36" s="14"/>
      <c r="L36" s="14"/>
      <c r="M36" s="14"/>
      <c r="N36" s="14"/>
      <c r="O36" s="14"/>
    </row>
    <row r="37" spans="1:15" s="3" customFormat="1" ht="15" x14ac:dyDescent="0.25">
      <c r="A37" s="203">
        <v>7</v>
      </c>
      <c r="B37" s="213" t="s">
        <v>130</v>
      </c>
      <c r="C37" s="214">
        <v>2371.7723193469164</v>
      </c>
      <c r="D37" s="214">
        <v>2404.0852234261938</v>
      </c>
      <c r="E37" s="214">
        <v>2394.2912653791063</v>
      </c>
      <c r="F37" s="214">
        <v>2384.5428633758447</v>
      </c>
      <c r="G37" s="214">
        <v>2363.4080608350196</v>
      </c>
      <c r="H37" s="214">
        <v>2364.0843763013168</v>
      </c>
      <c r="I37" s="214">
        <v>2375.4143047368029</v>
      </c>
      <c r="J37" s="204">
        <v>61</v>
      </c>
      <c r="K37" s="206">
        <v>12</v>
      </c>
      <c r="L37" s="204"/>
      <c r="M37" s="206"/>
      <c r="N37" s="204" t="s">
        <v>363</v>
      </c>
      <c r="O37" s="200"/>
    </row>
    <row r="38" spans="1:15" s="165" customFormat="1" ht="15" x14ac:dyDescent="0.25">
      <c r="A38" s="203">
        <v>7</v>
      </c>
      <c r="B38" s="213" t="s">
        <v>131</v>
      </c>
      <c r="C38" s="214">
        <f>0.316*614.257</f>
        <v>194.10521199999999</v>
      </c>
      <c r="D38" s="214">
        <f>0.316*617.567</f>
        <v>195.151172</v>
      </c>
      <c r="E38" s="214">
        <f>0.316*618.019</f>
        <v>195.294004</v>
      </c>
      <c r="F38" s="214">
        <f>0.316*618.968</f>
        <v>195.59388799999999</v>
      </c>
      <c r="G38" s="214">
        <f>0.316*620.597</f>
        <v>196.10865200000001</v>
      </c>
      <c r="H38" s="214">
        <f>0.316*622.085</f>
        <v>196.57886000000002</v>
      </c>
      <c r="I38" s="214">
        <f>0.316*623.63</f>
        <v>197.06708</v>
      </c>
      <c r="J38" s="204">
        <v>31.6</v>
      </c>
      <c r="K38" s="206" t="s">
        <v>315</v>
      </c>
      <c r="L38" s="204"/>
      <c r="M38" s="206"/>
      <c r="N38" s="204" t="s">
        <v>363</v>
      </c>
      <c r="O38" s="79"/>
    </row>
    <row r="39" spans="1:15" s="165" customFormat="1" ht="15" x14ac:dyDescent="0.25">
      <c r="A39" s="203">
        <v>6</v>
      </c>
      <c r="B39" s="213" t="s">
        <v>517</v>
      </c>
      <c r="C39" s="214">
        <v>69.200999999999993</v>
      </c>
      <c r="D39" s="214">
        <v>69.531000000000006</v>
      </c>
      <c r="E39" s="214">
        <v>69.201999999999998</v>
      </c>
      <c r="F39" s="214">
        <v>69.149000000000001</v>
      </c>
      <c r="G39" s="214">
        <v>69.149000000000001</v>
      </c>
      <c r="H39" s="214">
        <v>69.155000000000001</v>
      </c>
      <c r="I39" s="214">
        <v>69.155000000000001</v>
      </c>
      <c r="J39" s="204"/>
      <c r="K39" s="206">
        <v>13</v>
      </c>
      <c r="L39" s="204"/>
      <c r="M39" s="206"/>
      <c r="N39" s="204" t="s">
        <v>363</v>
      </c>
      <c r="O39" s="79"/>
    </row>
    <row r="40" spans="1:15" s="23" customFormat="1" x14ac:dyDescent="0.2">
      <c r="A40" s="203">
        <v>7</v>
      </c>
      <c r="B40" s="204" t="s">
        <v>132</v>
      </c>
      <c r="C40" s="205">
        <v>2.4359999999999999</v>
      </c>
      <c r="D40" s="205">
        <v>2.4169999999999998</v>
      </c>
      <c r="E40" s="205">
        <v>2.3730000000000002</v>
      </c>
      <c r="F40" s="205">
        <v>2.0499999999999998</v>
      </c>
      <c r="G40" s="205">
        <v>2.0499999999999998</v>
      </c>
      <c r="H40" s="205">
        <v>2.0499999999999998</v>
      </c>
      <c r="I40" s="205">
        <v>2.0499999999999998</v>
      </c>
      <c r="J40" s="204">
        <v>15</v>
      </c>
      <c r="K40" s="206">
        <v>11</v>
      </c>
      <c r="L40" s="168" t="s">
        <v>95</v>
      </c>
      <c r="M40" s="204" t="s">
        <v>10</v>
      </c>
      <c r="N40" s="204" t="s">
        <v>363</v>
      </c>
      <c r="O40" s="79"/>
    </row>
    <row r="41" spans="1:15" s="23" customFormat="1" x14ac:dyDescent="0.2">
      <c r="A41" s="203">
        <v>7</v>
      </c>
      <c r="B41" s="204" t="s">
        <v>133</v>
      </c>
      <c r="C41" s="205">
        <v>0.65600000000000003</v>
      </c>
      <c r="D41" s="205">
        <v>0.65600000000000003</v>
      </c>
      <c r="E41" s="205">
        <v>0.66100000000000003</v>
      </c>
      <c r="F41" s="205">
        <v>0.66100000000000003</v>
      </c>
      <c r="G41" s="205">
        <v>0.66100000000000003</v>
      </c>
      <c r="H41" s="205">
        <v>0.66100000000000003</v>
      </c>
      <c r="I41" s="205">
        <v>0.66075000000000006</v>
      </c>
      <c r="J41" s="204">
        <v>75</v>
      </c>
      <c r="K41" s="206" t="s">
        <v>134</v>
      </c>
      <c r="L41" s="168" t="s">
        <v>135</v>
      </c>
      <c r="M41" s="204" t="s">
        <v>10</v>
      </c>
      <c r="N41" s="204" t="s">
        <v>363</v>
      </c>
      <c r="O41" s="79"/>
    </row>
    <row r="42" spans="1:15" s="23" customFormat="1" x14ac:dyDescent="0.2">
      <c r="A42" s="203">
        <v>16</v>
      </c>
      <c r="B42" s="204" t="s">
        <v>136</v>
      </c>
      <c r="C42" s="207">
        <v>54.7986</v>
      </c>
      <c r="D42" s="207">
        <v>52.931999999999995</v>
      </c>
      <c r="E42" s="207">
        <v>52.315799999999996</v>
      </c>
      <c r="F42" s="207">
        <v>51.620400000000004</v>
      </c>
      <c r="G42" s="207">
        <v>51.215399999999995</v>
      </c>
      <c r="H42" s="207">
        <v>51.215399999999995</v>
      </c>
      <c r="I42" s="207">
        <v>51.215399999999995</v>
      </c>
      <c r="J42" s="204">
        <v>59</v>
      </c>
      <c r="K42" s="78" t="s">
        <v>22</v>
      </c>
      <c r="L42" s="168"/>
      <c r="M42" s="204" t="s">
        <v>136</v>
      </c>
      <c r="N42" s="204" t="s">
        <v>363</v>
      </c>
      <c r="O42" s="79"/>
    </row>
    <row r="43" spans="1:15" s="23" customFormat="1" x14ac:dyDescent="0.2">
      <c r="A43" s="203">
        <v>16</v>
      </c>
      <c r="B43" s="204" t="s">
        <v>520</v>
      </c>
      <c r="C43" s="207">
        <v>78.204630000000009</v>
      </c>
      <c r="D43" s="207">
        <v>75.414630000000017</v>
      </c>
      <c r="E43" s="207">
        <v>72.066629999999989</v>
      </c>
      <c r="F43" s="207">
        <v>72.066629999999989</v>
      </c>
      <c r="G43" s="207">
        <v>72.066629999999989</v>
      </c>
      <c r="H43" s="207">
        <v>72.066629999999989</v>
      </c>
      <c r="I43" s="207">
        <v>72.066629999999989</v>
      </c>
      <c r="J43" s="204">
        <v>94</v>
      </c>
      <c r="K43" s="78" t="s">
        <v>22</v>
      </c>
      <c r="L43" s="168"/>
      <c r="M43" s="204" t="s">
        <v>28</v>
      </c>
      <c r="N43" s="204" t="s">
        <v>363</v>
      </c>
      <c r="O43" s="79"/>
    </row>
    <row r="44" spans="1:15" s="23" customFormat="1" x14ac:dyDescent="0.2">
      <c r="A44" s="203">
        <v>16</v>
      </c>
      <c r="B44" s="204" t="s">
        <v>137</v>
      </c>
      <c r="C44" s="207">
        <v>4.6859999999999999</v>
      </c>
      <c r="D44" s="207">
        <v>8.7110000000000003</v>
      </c>
      <c r="E44" s="207">
        <v>4.5650000000000004</v>
      </c>
      <c r="F44" s="207">
        <v>4.4847000000000001</v>
      </c>
      <c r="G44" s="207">
        <v>4.4419000000000004</v>
      </c>
      <c r="H44" s="207">
        <v>4.4419000000000004</v>
      </c>
      <c r="I44" s="207">
        <v>4.4419000000000004</v>
      </c>
      <c r="J44" s="204">
        <v>10</v>
      </c>
      <c r="K44" s="206">
        <v>10</v>
      </c>
      <c r="L44" s="168" t="s">
        <v>108</v>
      </c>
      <c r="M44" s="204" t="s">
        <v>12</v>
      </c>
      <c r="N44" s="204" t="s">
        <v>363</v>
      </c>
      <c r="O44" s="79"/>
    </row>
    <row r="45" spans="1:15" s="23" customFormat="1" x14ac:dyDescent="0.2">
      <c r="A45" s="203">
        <v>16</v>
      </c>
      <c r="B45" s="204" t="s">
        <v>141</v>
      </c>
      <c r="C45" s="207">
        <v>0.26100000000000001</v>
      </c>
      <c r="D45" s="207">
        <v>0</v>
      </c>
      <c r="E45" s="207">
        <v>0</v>
      </c>
      <c r="F45" s="207">
        <v>0</v>
      </c>
      <c r="G45" s="207">
        <v>0</v>
      </c>
      <c r="H45" s="207">
        <v>0</v>
      </c>
      <c r="I45" s="207">
        <v>0</v>
      </c>
      <c r="J45" s="204">
        <v>100</v>
      </c>
      <c r="K45" s="206">
        <v>11</v>
      </c>
      <c r="L45" s="168" t="s">
        <v>95</v>
      </c>
      <c r="M45" s="204" t="s">
        <v>12</v>
      </c>
      <c r="N45" s="204" t="s">
        <v>363</v>
      </c>
      <c r="O45" s="79"/>
    </row>
    <row r="46" spans="1:15" s="23" customFormat="1" x14ac:dyDescent="0.2">
      <c r="A46" s="203">
        <v>16</v>
      </c>
      <c r="B46" s="204" t="s">
        <v>371</v>
      </c>
      <c r="C46" s="207">
        <v>10.234999999999999</v>
      </c>
      <c r="D46" s="207">
        <v>6.2350000000000003</v>
      </c>
      <c r="E46" s="207">
        <v>6.2350000000000003</v>
      </c>
      <c r="F46" s="207">
        <v>6.2350000000000003</v>
      </c>
      <c r="G46" s="207">
        <v>6.2350000000000003</v>
      </c>
      <c r="H46" s="207">
        <v>6.2350000000000003</v>
      </c>
      <c r="I46" s="207">
        <v>6.2350000000000003</v>
      </c>
      <c r="J46" s="204">
        <v>100</v>
      </c>
      <c r="K46" s="206" t="s">
        <v>138</v>
      </c>
      <c r="L46" s="168" t="s">
        <v>139</v>
      </c>
      <c r="M46" s="204" t="s">
        <v>140</v>
      </c>
      <c r="N46" s="204" t="s">
        <v>363</v>
      </c>
      <c r="O46" s="79"/>
    </row>
    <row r="47" spans="1:15" s="23" customFormat="1" x14ac:dyDescent="0.2">
      <c r="A47" s="203">
        <v>16</v>
      </c>
      <c r="B47" s="204" t="s">
        <v>148</v>
      </c>
      <c r="C47" s="207">
        <v>8.6349999999999998</v>
      </c>
      <c r="D47" s="207">
        <v>8.3030000000000008</v>
      </c>
      <c r="E47" s="207">
        <v>8.3030000000000008</v>
      </c>
      <c r="F47" s="207">
        <v>8.3030000000000008</v>
      </c>
      <c r="G47" s="207">
        <v>8.3030000000000008</v>
      </c>
      <c r="H47" s="207">
        <v>8.3030000000000008</v>
      </c>
      <c r="I47" s="207">
        <v>8.3030000000000008</v>
      </c>
      <c r="J47" s="204">
        <v>100</v>
      </c>
      <c r="K47" s="206">
        <v>7</v>
      </c>
      <c r="L47" s="168" t="s">
        <v>149</v>
      </c>
      <c r="M47" s="204" t="s">
        <v>10</v>
      </c>
      <c r="N47" s="204" t="s">
        <v>363</v>
      </c>
      <c r="O47" s="79"/>
    </row>
    <row r="48" spans="1:15" s="23" customFormat="1" x14ac:dyDescent="0.2">
      <c r="A48" s="203">
        <v>16</v>
      </c>
      <c r="B48" s="204" t="s">
        <v>150</v>
      </c>
      <c r="C48" s="207">
        <v>0.23100000000000001</v>
      </c>
      <c r="D48" s="207">
        <v>0.219</v>
      </c>
      <c r="E48" s="207">
        <v>0.219</v>
      </c>
      <c r="F48" s="207">
        <v>0.219</v>
      </c>
      <c r="G48" s="207">
        <v>0.219</v>
      </c>
      <c r="H48" s="207">
        <v>0.219</v>
      </c>
      <c r="I48" s="207">
        <v>0.219</v>
      </c>
      <c r="J48" s="204">
        <v>100</v>
      </c>
      <c r="K48" s="206" t="s">
        <v>151</v>
      </c>
      <c r="L48" s="168" t="s">
        <v>152</v>
      </c>
      <c r="M48" s="204" t="s">
        <v>10</v>
      </c>
      <c r="N48" s="204" t="s">
        <v>363</v>
      </c>
      <c r="O48" s="79"/>
    </row>
    <row r="49" spans="1:18" s="23" customFormat="1" x14ac:dyDescent="0.2">
      <c r="A49" s="203">
        <v>16</v>
      </c>
      <c r="B49" s="204" t="s">
        <v>142</v>
      </c>
      <c r="C49" s="207">
        <v>0.77500000000000002</v>
      </c>
      <c r="D49" s="207">
        <v>0.81200000000000006</v>
      </c>
      <c r="E49" s="207">
        <v>0.81200000000000006</v>
      </c>
      <c r="F49" s="207">
        <v>0.81200000000000006</v>
      </c>
      <c r="G49" s="207">
        <v>0.81200000000000006</v>
      </c>
      <c r="H49" s="207">
        <v>0.81200000000000006</v>
      </c>
      <c r="I49" s="207">
        <v>0.81200000000000006</v>
      </c>
      <c r="J49" s="204">
        <v>100</v>
      </c>
      <c r="K49" s="206" t="s">
        <v>138</v>
      </c>
      <c r="L49" s="168" t="s">
        <v>139</v>
      </c>
      <c r="M49" s="204" t="s">
        <v>15</v>
      </c>
      <c r="N49" s="204" t="s">
        <v>363</v>
      </c>
      <c r="O49" s="78"/>
    </row>
    <row r="50" spans="1:18" s="23" customFormat="1" x14ac:dyDescent="0.2">
      <c r="A50" s="203">
        <v>16</v>
      </c>
      <c r="B50" s="204" t="s">
        <v>143</v>
      </c>
      <c r="C50" s="207">
        <v>4.7320000000000002</v>
      </c>
      <c r="D50" s="207">
        <v>4.8460000000000001</v>
      </c>
      <c r="E50" s="207">
        <v>4.851</v>
      </c>
      <c r="F50" s="207">
        <v>4.851</v>
      </c>
      <c r="G50" s="207">
        <v>4.851</v>
      </c>
      <c r="H50" s="207">
        <v>4.851</v>
      </c>
      <c r="I50" s="207">
        <v>4.851</v>
      </c>
      <c r="J50" s="204">
        <v>100</v>
      </c>
      <c r="K50" s="206" t="s">
        <v>138</v>
      </c>
      <c r="L50" s="168" t="s">
        <v>139</v>
      </c>
      <c r="M50" s="204" t="s">
        <v>15</v>
      </c>
      <c r="N50" s="204" t="s">
        <v>363</v>
      </c>
      <c r="O50" s="79"/>
    </row>
    <row r="51" spans="1:18" s="23" customFormat="1" x14ac:dyDescent="0.2">
      <c r="A51" s="203">
        <v>16</v>
      </c>
      <c r="B51" s="204" t="s">
        <v>146</v>
      </c>
      <c r="C51" s="207">
        <v>41.363</v>
      </c>
      <c r="D51" s="207">
        <v>46.868000000000002</v>
      </c>
      <c r="E51" s="207">
        <v>40</v>
      </c>
      <c r="F51" s="207">
        <v>40</v>
      </c>
      <c r="G51" s="207">
        <v>40</v>
      </c>
      <c r="H51" s="207">
        <v>40</v>
      </c>
      <c r="I51" s="207">
        <v>40</v>
      </c>
      <c r="J51" s="204">
        <v>100</v>
      </c>
      <c r="K51" s="206" t="s">
        <v>138</v>
      </c>
      <c r="L51" s="168" t="s">
        <v>139</v>
      </c>
      <c r="M51" s="204" t="s">
        <v>15</v>
      </c>
      <c r="N51" s="204" t="s">
        <v>363</v>
      </c>
      <c r="O51" s="79"/>
    </row>
    <row r="52" spans="1:18" s="23" customFormat="1" x14ac:dyDescent="0.2">
      <c r="A52" s="203">
        <v>16</v>
      </c>
      <c r="B52" s="204" t="s">
        <v>147</v>
      </c>
      <c r="C52" s="207">
        <v>8.5139999999999993</v>
      </c>
      <c r="D52" s="207">
        <v>8.6150000000000002</v>
      </c>
      <c r="E52" s="207">
        <v>8.5</v>
      </c>
      <c r="F52" s="207">
        <v>8.5</v>
      </c>
      <c r="G52" s="207">
        <v>8.5</v>
      </c>
      <c r="H52" s="207">
        <v>8.5</v>
      </c>
      <c r="I52" s="207">
        <v>8.5</v>
      </c>
      <c r="J52" s="204">
        <v>100</v>
      </c>
      <c r="K52" s="206" t="s">
        <v>138</v>
      </c>
      <c r="L52" s="168" t="s">
        <v>139</v>
      </c>
      <c r="M52" s="204" t="s">
        <v>15</v>
      </c>
      <c r="N52" s="204" t="s">
        <v>363</v>
      </c>
      <c r="O52" s="79"/>
    </row>
    <row r="53" spans="1:18" s="23" customFormat="1" x14ac:dyDescent="0.2">
      <c r="A53" s="203" t="s">
        <v>166</v>
      </c>
      <c r="B53" s="204" t="s">
        <v>372</v>
      </c>
      <c r="C53" s="207">
        <v>12.824999999999999</v>
      </c>
      <c r="D53" s="207">
        <v>10.071</v>
      </c>
      <c r="E53" s="207">
        <v>9.1530000000000005</v>
      </c>
      <c r="F53" s="207">
        <v>8.8829999999999991</v>
      </c>
      <c r="G53" s="207">
        <v>8.64</v>
      </c>
      <c r="H53" s="207">
        <v>8.6129999999999995</v>
      </c>
      <c r="I53" s="207">
        <v>8.6129999999999995</v>
      </c>
      <c r="J53" s="204">
        <v>27</v>
      </c>
      <c r="K53" s="206">
        <v>10</v>
      </c>
      <c r="L53" s="168" t="s">
        <v>108</v>
      </c>
      <c r="M53" s="204" t="s">
        <v>12</v>
      </c>
      <c r="N53" s="204" t="s">
        <v>363</v>
      </c>
      <c r="O53" s="79"/>
    </row>
    <row r="54" spans="1:18" s="23" customFormat="1" x14ac:dyDescent="0.2">
      <c r="A54" s="203" t="s">
        <v>166</v>
      </c>
      <c r="B54" s="204" t="s">
        <v>167</v>
      </c>
      <c r="C54" s="207">
        <v>0.32100000000000001</v>
      </c>
      <c r="D54" s="207">
        <v>0.31900000000000001</v>
      </c>
      <c r="E54" s="207">
        <v>0.31900000000000001</v>
      </c>
      <c r="F54" s="207"/>
      <c r="G54" s="210"/>
      <c r="H54" s="210"/>
      <c r="I54" s="210"/>
      <c r="J54" s="204">
        <v>6</v>
      </c>
      <c r="K54" s="206">
        <v>10</v>
      </c>
      <c r="L54" s="168" t="s">
        <v>108</v>
      </c>
      <c r="M54" s="204" t="s">
        <v>12</v>
      </c>
      <c r="N54" s="204" t="s">
        <v>363</v>
      </c>
      <c r="O54" s="78"/>
    </row>
    <row r="55" spans="1:18" s="23" customFormat="1" x14ac:dyDescent="0.2">
      <c r="A55" s="203" t="s">
        <v>166</v>
      </c>
      <c r="B55" s="204" t="s">
        <v>169</v>
      </c>
      <c r="C55" s="207">
        <v>0.72699999999999998</v>
      </c>
      <c r="D55" s="207">
        <v>0.72699999999999998</v>
      </c>
      <c r="E55" s="207">
        <v>0.72699999999999998</v>
      </c>
      <c r="F55" s="207"/>
      <c r="G55" s="210"/>
      <c r="H55" s="210"/>
      <c r="I55" s="210"/>
      <c r="J55" s="204">
        <v>100</v>
      </c>
      <c r="K55" s="206">
        <v>10</v>
      </c>
      <c r="L55" s="168" t="s">
        <v>108</v>
      </c>
      <c r="M55" s="204" t="s">
        <v>10</v>
      </c>
      <c r="N55" s="204" t="s">
        <v>363</v>
      </c>
      <c r="O55" s="79"/>
    </row>
    <row r="56" spans="1:18" s="1" customFormat="1" x14ac:dyDescent="0.2">
      <c r="A56" s="203">
        <v>6</v>
      </c>
      <c r="B56" s="213" t="s">
        <v>516</v>
      </c>
      <c r="C56" s="214">
        <v>23.616</v>
      </c>
      <c r="D56" s="214">
        <v>28.51</v>
      </c>
      <c r="E56" s="214">
        <v>28.51</v>
      </c>
      <c r="F56" s="214">
        <v>27.51</v>
      </c>
      <c r="G56" s="214">
        <v>27.51</v>
      </c>
      <c r="H56" s="214">
        <v>27.51</v>
      </c>
      <c r="I56" s="214">
        <v>27.51</v>
      </c>
      <c r="J56" s="204"/>
      <c r="K56" s="206">
        <v>13</v>
      </c>
      <c r="L56" s="204"/>
      <c r="M56" s="206"/>
      <c r="N56" s="204" t="s">
        <v>362</v>
      </c>
      <c r="O56" s="79"/>
      <c r="Q56" s="63"/>
    </row>
    <row r="57" spans="1:18" s="23" customFormat="1" x14ac:dyDescent="0.2">
      <c r="A57" s="203">
        <v>16</v>
      </c>
      <c r="B57" s="204" t="s">
        <v>521</v>
      </c>
      <c r="C57" s="207">
        <v>262.07400000000001</v>
      </c>
      <c r="D57" s="207">
        <v>367.92102</v>
      </c>
      <c r="E57" s="207">
        <v>353.45673000000005</v>
      </c>
      <c r="F57" s="207">
        <v>340.82640000000004</v>
      </c>
      <c r="G57" s="207">
        <v>339.07800000000003</v>
      </c>
      <c r="H57" s="207">
        <v>338.52000000000004</v>
      </c>
      <c r="I57" s="207">
        <v>338.33400000000006</v>
      </c>
      <c r="J57" s="204"/>
      <c r="K57" s="78"/>
      <c r="L57" s="168"/>
      <c r="M57" s="204"/>
      <c r="N57" s="204" t="s">
        <v>362</v>
      </c>
      <c r="O57" s="79"/>
      <c r="P57" s="143"/>
      <c r="R57" s="143"/>
    </row>
    <row r="58" spans="1:18" s="23" customFormat="1" x14ac:dyDescent="0.2">
      <c r="A58" s="203">
        <v>16</v>
      </c>
      <c r="B58" s="204" t="s">
        <v>367</v>
      </c>
      <c r="C58" s="208">
        <v>165.86500000000001</v>
      </c>
      <c r="D58" s="208">
        <v>162.31800000000001</v>
      </c>
      <c r="E58" s="208">
        <v>161.40899999999999</v>
      </c>
      <c r="F58" s="208">
        <v>161.24600000000001</v>
      </c>
      <c r="G58" s="208">
        <v>160.88499999999999</v>
      </c>
      <c r="H58" s="208">
        <v>160.88499999999999</v>
      </c>
      <c r="I58" s="208">
        <v>160.88499999999999</v>
      </c>
      <c r="J58" s="209"/>
      <c r="K58" s="78" t="s">
        <v>22</v>
      </c>
      <c r="L58" s="168"/>
      <c r="M58" s="204" t="s">
        <v>28</v>
      </c>
      <c r="N58" s="204" t="s">
        <v>362</v>
      </c>
      <c r="O58" s="79"/>
      <c r="P58" s="143"/>
      <c r="Q58" s="143"/>
      <c r="R58" s="143"/>
    </row>
    <row r="59" spans="1:18" s="23" customFormat="1" x14ac:dyDescent="0.2">
      <c r="A59" s="203">
        <v>16</v>
      </c>
      <c r="B59" s="204" t="s">
        <v>368</v>
      </c>
      <c r="C59" s="208">
        <v>8</v>
      </c>
      <c r="D59" s="208">
        <v>8</v>
      </c>
      <c r="E59" s="208">
        <v>8</v>
      </c>
      <c r="F59" s="208">
        <v>8</v>
      </c>
      <c r="G59" s="208">
        <v>8</v>
      </c>
      <c r="H59" s="208">
        <v>8</v>
      </c>
      <c r="I59" s="208">
        <v>8</v>
      </c>
      <c r="J59" s="204">
        <v>100</v>
      </c>
      <c r="K59" s="206" t="s">
        <v>151</v>
      </c>
      <c r="L59" s="168" t="s">
        <v>152</v>
      </c>
      <c r="M59" s="204" t="s">
        <v>157</v>
      </c>
      <c r="N59" s="204" t="s">
        <v>362</v>
      </c>
      <c r="O59" s="79"/>
    </row>
    <row r="60" spans="1:18" s="23" customFormat="1" x14ac:dyDescent="0.2">
      <c r="A60" s="203">
        <v>16</v>
      </c>
      <c r="B60" s="204" t="s">
        <v>369</v>
      </c>
      <c r="C60" s="208">
        <v>61.963000000000001</v>
      </c>
      <c r="D60" s="208">
        <v>54.243000000000002</v>
      </c>
      <c r="E60" s="208">
        <v>55.295000000000002</v>
      </c>
      <c r="F60" s="208">
        <v>55.381999999999998</v>
      </c>
      <c r="G60" s="208">
        <v>55.38</v>
      </c>
      <c r="H60" s="208">
        <v>55.38</v>
      </c>
      <c r="I60" s="208">
        <v>55.38</v>
      </c>
      <c r="J60" s="204">
        <v>100</v>
      </c>
      <c r="K60" s="206">
        <v>13</v>
      </c>
      <c r="L60" s="168" t="s">
        <v>158</v>
      </c>
      <c r="M60" s="204" t="s">
        <v>28</v>
      </c>
      <c r="N60" s="204" t="s">
        <v>362</v>
      </c>
      <c r="O60" s="79"/>
    </row>
    <row r="61" spans="1:18" s="23" customFormat="1" x14ac:dyDescent="0.2">
      <c r="A61" s="203">
        <v>16</v>
      </c>
      <c r="B61" s="204" t="s">
        <v>370</v>
      </c>
      <c r="C61" s="208">
        <v>16.257000000000001</v>
      </c>
      <c r="D61" s="208">
        <v>19.448</v>
      </c>
      <c r="E61" s="208">
        <v>17.823</v>
      </c>
      <c r="F61" s="208">
        <v>15.874000000000001</v>
      </c>
      <c r="G61" s="208">
        <v>16.228999999999999</v>
      </c>
      <c r="H61" s="208">
        <v>15.379</v>
      </c>
      <c r="I61" s="208">
        <v>15.287000000000001</v>
      </c>
      <c r="J61" s="204">
        <v>0</v>
      </c>
      <c r="K61" s="206">
        <v>9</v>
      </c>
      <c r="L61" s="168" t="s">
        <v>156</v>
      </c>
      <c r="M61" s="204" t="s">
        <v>28</v>
      </c>
      <c r="N61" s="204" t="s">
        <v>362</v>
      </c>
      <c r="O61" s="78"/>
    </row>
    <row r="62" spans="1:18" s="23" customFormat="1" x14ac:dyDescent="0.2">
      <c r="A62" s="203">
        <v>16</v>
      </c>
      <c r="B62" s="204" t="s">
        <v>160</v>
      </c>
      <c r="C62" s="207">
        <v>2.5</v>
      </c>
      <c r="D62" s="207">
        <v>2.5</v>
      </c>
      <c r="E62" s="207">
        <v>2.5</v>
      </c>
      <c r="F62" s="207">
        <v>2.5</v>
      </c>
      <c r="G62" s="207">
        <v>2.5</v>
      </c>
      <c r="H62" s="207">
        <v>2.5</v>
      </c>
      <c r="I62" s="207">
        <v>2.5</v>
      </c>
      <c r="J62" s="204">
        <v>100</v>
      </c>
      <c r="K62" s="206">
        <v>1</v>
      </c>
      <c r="L62" s="168" t="s">
        <v>161</v>
      </c>
      <c r="M62" s="204" t="s">
        <v>28</v>
      </c>
      <c r="N62" s="204" t="s">
        <v>362</v>
      </c>
      <c r="O62" s="79"/>
    </row>
    <row r="63" spans="1:18" s="23" customFormat="1" x14ac:dyDescent="0.2">
      <c r="A63" s="203">
        <v>16</v>
      </c>
      <c r="B63" s="204" t="s">
        <v>153</v>
      </c>
      <c r="C63" s="207">
        <v>2.9420000000000002</v>
      </c>
      <c r="D63" s="207">
        <v>2.9420000000000002</v>
      </c>
      <c r="E63" s="207">
        <v>1.5</v>
      </c>
      <c r="F63" s="207">
        <v>1.5</v>
      </c>
      <c r="G63" s="207">
        <v>1.5</v>
      </c>
      <c r="H63" s="207">
        <v>1.5</v>
      </c>
      <c r="I63" s="207">
        <v>1.5</v>
      </c>
      <c r="J63" s="204">
        <v>100</v>
      </c>
      <c r="K63" s="206" t="s">
        <v>138</v>
      </c>
      <c r="L63" s="168" t="s">
        <v>139</v>
      </c>
      <c r="M63" s="204" t="s">
        <v>28</v>
      </c>
      <c r="N63" s="204" t="s">
        <v>362</v>
      </c>
      <c r="O63" s="79"/>
    </row>
    <row r="64" spans="1:18" s="23" customFormat="1" x14ac:dyDescent="0.2">
      <c r="A64" s="203">
        <v>16</v>
      </c>
      <c r="B64" s="204" t="s">
        <v>159</v>
      </c>
      <c r="C64" s="207">
        <v>40.5</v>
      </c>
      <c r="D64" s="207">
        <v>0</v>
      </c>
      <c r="E64" s="207">
        <v>0</v>
      </c>
      <c r="F64" s="207">
        <v>0</v>
      </c>
      <c r="G64" s="207">
        <v>0</v>
      </c>
      <c r="H64" s="207">
        <v>0</v>
      </c>
      <c r="I64" s="207">
        <v>0</v>
      </c>
      <c r="J64" s="204">
        <v>100</v>
      </c>
      <c r="K64" s="206" t="s">
        <v>115</v>
      </c>
      <c r="L64" s="168" t="s">
        <v>154</v>
      </c>
      <c r="M64" s="204" t="s">
        <v>28</v>
      </c>
      <c r="N64" s="204" t="s">
        <v>362</v>
      </c>
      <c r="O64" s="79"/>
    </row>
    <row r="65" spans="1:15" s="166" customFormat="1" x14ac:dyDescent="0.2">
      <c r="A65" s="203">
        <v>16</v>
      </c>
      <c r="B65" s="204" t="s">
        <v>162</v>
      </c>
      <c r="C65" s="207">
        <f>6.098/2</f>
        <v>3.0489999999999999</v>
      </c>
      <c r="D65" s="207">
        <f>6.108/2</f>
        <v>3.0539999999999998</v>
      </c>
      <c r="E65" s="207">
        <f>5.905/2</f>
        <v>2.9525000000000001</v>
      </c>
      <c r="F65" s="207">
        <f>6.129/2</f>
        <v>3.0644999999999998</v>
      </c>
      <c r="G65" s="207">
        <f>6.056/2</f>
        <v>3.028</v>
      </c>
      <c r="H65" s="207">
        <f>6.287/2</f>
        <v>3.1435</v>
      </c>
      <c r="I65" s="207">
        <f>6.295/2</f>
        <v>3.1475</v>
      </c>
      <c r="J65" s="204">
        <v>50</v>
      </c>
      <c r="K65" s="206">
        <v>13</v>
      </c>
      <c r="L65" s="168" t="s">
        <v>158</v>
      </c>
      <c r="M65" s="204" t="s">
        <v>63</v>
      </c>
      <c r="N65" s="204" t="s">
        <v>362</v>
      </c>
      <c r="O65" s="79"/>
    </row>
    <row r="66" spans="1:15" s="23" customFormat="1" x14ac:dyDescent="0.2">
      <c r="A66" s="203">
        <v>16</v>
      </c>
      <c r="B66" s="204" t="s">
        <v>163</v>
      </c>
      <c r="C66" s="207">
        <v>3.57</v>
      </c>
      <c r="D66" s="207">
        <v>2.75</v>
      </c>
      <c r="E66" s="207">
        <v>2.75</v>
      </c>
      <c r="F66" s="207">
        <v>1.25</v>
      </c>
      <c r="G66" s="207">
        <v>0</v>
      </c>
      <c r="H66" s="207">
        <v>0</v>
      </c>
      <c r="I66" s="207">
        <v>0</v>
      </c>
      <c r="J66" s="204">
        <v>100</v>
      </c>
      <c r="K66" s="206">
        <v>13</v>
      </c>
      <c r="L66" s="168" t="s">
        <v>158</v>
      </c>
      <c r="M66" s="204" t="s">
        <v>63</v>
      </c>
      <c r="N66" s="204" t="s">
        <v>362</v>
      </c>
      <c r="O66" s="79"/>
    </row>
    <row r="67" spans="1:15" s="23" customFormat="1" x14ac:dyDescent="0.2">
      <c r="A67" s="203">
        <v>16</v>
      </c>
      <c r="B67" s="204" t="s">
        <v>144</v>
      </c>
      <c r="C67" s="207">
        <v>30.361999999999998</v>
      </c>
      <c r="D67" s="207">
        <v>30.95</v>
      </c>
      <c r="E67" s="207">
        <v>31.065000000000001</v>
      </c>
      <c r="F67" s="207">
        <v>31.065000000000001</v>
      </c>
      <c r="G67" s="207">
        <v>31.065000000000001</v>
      </c>
      <c r="H67" s="207">
        <v>31.065000000000001</v>
      </c>
      <c r="I67" s="207">
        <v>31.065000000000001</v>
      </c>
      <c r="J67" s="204">
        <v>100</v>
      </c>
      <c r="K67" s="206">
        <v>3</v>
      </c>
      <c r="L67" s="168" t="s">
        <v>145</v>
      </c>
      <c r="M67" s="204" t="s">
        <v>15</v>
      </c>
      <c r="N67" s="204" t="s">
        <v>362</v>
      </c>
      <c r="O67" s="79"/>
    </row>
    <row r="68" spans="1:15" s="23" customFormat="1" x14ac:dyDescent="0.2">
      <c r="A68" s="203" t="s">
        <v>164</v>
      </c>
      <c r="B68" s="204" t="s">
        <v>165</v>
      </c>
      <c r="C68" s="207">
        <v>14.1</v>
      </c>
      <c r="D68" s="207">
        <v>14.1</v>
      </c>
      <c r="E68" s="207">
        <v>14</v>
      </c>
      <c r="F68" s="207">
        <v>14</v>
      </c>
      <c r="G68" s="207">
        <v>14</v>
      </c>
      <c r="H68" s="207">
        <v>14</v>
      </c>
      <c r="I68" s="207">
        <v>14</v>
      </c>
      <c r="J68" s="204">
        <v>100</v>
      </c>
      <c r="K68" s="206">
        <v>9</v>
      </c>
      <c r="L68" s="168" t="s">
        <v>156</v>
      </c>
      <c r="M68" s="204" t="s">
        <v>63</v>
      </c>
      <c r="N68" s="204" t="s">
        <v>362</v>
      </c>
      <c r="O68" s="79"/>
    </row>
    <row r="69" spans="1:15" s="23" customFormat="1" x14ac:dyDescent="0.2">
      <c r="A69" s="203" t="s">
        <v>166</v>
      </c>
      <c r="B69" s="204" t="s">
        <v>168</v>
      </c>
      <c r="C69" s="207">
        <v>1.75</v>
      </c>
      <c r="D69" s="207">
        <v>1.9119999999999999</v>
      </c>
      <c r="E69" s="207">
        <v>2.15</v>
      </c>
      <c r="F69" s="207">
        <v>2.15</v>
      </c>
      <c r="G69" s="207">
        <v>2.15</v>
      </c>
      <c r="H69" s="207">
        <v>2.15</v>
      </c>
      <c r="I69" s="207">
        <v>2.15</v>
      </c>
      <c r="J69" s="204">
        <v>100</v>
      </c>
      <c r="K69" s="206">
        <v>10</v>
      </c>
      <c r="L69" s="168" t="s">
        <v>108</v>
      </c>
      <c r="M69" s="204" t="s">
        <v>63</v>
      </c>
      <c r="N69" s="204" t="s">
        <v>362</v>
      </c>
      <c r="O69" s="79"/>
    </row>
    <row r="70" spans="1:15" s="23" customFormat="1" ht="15" x14ac:dyDescent="0.25">
      <c r="A70" s="92"/>
      <c r="B70" s="3" t="s">
        <v>104</v>
      </c>
      <c r="C70" s="12">
        <f>SUM(C37:C69)</f>
        <v>3501.0267613469177</v>
      </c>
      <c r="D70" s="12">
        <f t="shared" ref="D70:I70" si="3">SUM(D37:D69)</f>
        <v>3594.5610454261923</v>
      </c>
      <c r="E70" s="12">
        <f t="shared" si="3"/>
        <v>3551.2989293791056</v>
      </c>
      <c r="F70" s="12">
        <f t="shared" si="3"/>
        <v>3522.3393813758444</v>
      </c>
      <c r="G70" s="12">
        <f t="shared" si="3"/>
        <v>3497.9856428350195</v>
      </c>
      <c r="H70" s="12">
        <f t="shared" si="3"/>
        <v>3497.8186663013175</v>
      </c>
      <c r="I70" s="12">
        <f t="shared" si="3"/>
        <v>3509.3625647368031</v>
      </c>
      <c r="J70" s="3"/>
      <c r="K70" s="3"/>
      <c r="L70" s="1"/>
      <c r="M70" s="3"/>
      <c r="N70" s="3"/>
      <c r="O70" s="79"/>
    </row>
    <row r="71" spans="1:15" s="23" customFormat="1" x14ac:dyDescent="0.2">
      <c r="A71" s="4"/>
      <c r="B71" s="4"/>
      <c r="C71" s="66"/>
      <c r="D71" s="66"/>
      <c r="E71" s="66"/>
      <c r="F71" s="66"/>
      <c r="G71" s="66"/>
      <c r="H71" s="66"/>
      <c r="I71" s="66"/>
      <c r="J71" s="4"/>
      <c r="K71" s="4"/>
      <c r="L71" s="4"/>
      <c r="M71" s="4"/>
      <c r="N71" s="4"/>
      <c r="O71" s="13"/>
    </row>
    <row r="72" spans="1:15" s="23" customFormat="1" ht="15" x14ac:dyDescent="0.25">
      <c r="A72" s="14"/>
      <c r="B72" s="15" t="s">
        <v>64</v>
      </c>
      <c r="C72" s="65"/>
      <c r="D72" s="65"/>
      <c r="E72" s="65"/>
      <c r="F72" s="65"/>
      <c r="G72" s="65"/>
      <c r="H72" s="65"/>
      <c r="I72" s="65"/>
      <c r="J72" s="14"/>
      <c r="K72" s="14"/>
      <c r="L72" s="14"/>
      <c r="M72" s="14"/>
      <c r="N72" s="14"/>
      <c r="O72" s="14"/>
    </row>
    <row r="73" spans="1:15" s="23" customFormat="1" x14ac:dyDescent="0.2">
      <c r="A73" s="168" t="s">
        <v>88</v>
      </c>
      <c r="B73" s="133" t="s">
        <v>376</v>
      </c>
      <c r="C73" s="133">
        <v>34.107999999999997</v>
      </c>
      <c r="D73" s="133">
        <v>33.542999999999999</v>
      </c>
      <c r="E73" s="133">
        <v>33.527999999999999</v>
      </c>
      <c r="F73" s="133">
        <v>33.307000000000002</v>
      </c>
      <c r="G73" s="133">
        <v>33.308</v>
      </c>
      <c r="H73" s="133">
        <v>33.308</v>
      </c>
      <c r="I73" s="133">
        <v>33.308</v>
      </c>
      <c r="J73" s="133">
        <v>100</v>
      </c>
      <c r="K73" s="133">
        <v>14</v>
      </c>
      <c r="L73" s="133" t="s">
        <v>90</v>
      </c>
      <c r="M73" s="133" t="s">
        <v>24</v>
      </c>
      <c r="N73" s="141" t="s">
        <v>62</v>
      </c>
      <c r="O73" s="80">
        <v>100</v>
      </c>
    </row>
    <row r="74" spans="1:15" s="23" customFormat="1" x14ac:dyDescent="0.2">
      <c r="A74" s="168" t="s">
        <v>88</v>
      </c>
      <c r="B74" s="133" t="s">
        <v>92</v>
      </c>
      <c r="C74" s="133">
        <v>0.51700000000000002</v>
      </c>
      <c r="D74" s="133">
        <v>0.51700000000000002</v>
      </c>
      <c r="E74" s="133">
        <v>0.51700000000000002</v>
      </c>
      <c r="F74" s="133">
        <v>0.51700000000000002</v>
      </c>
      <c r="G74" s="133">
        <v>0.51700000000000002</v>
      </c>
      <c r="H74" s="133">
        <v>0.51700000000000002</v>
      </c>
      <c r="I74" s="133">
        <v>0.51700000000000002</v>
      </c>
      <c r="J74" s="133">
        <v>100</v>
      </c>
      <c r="K74" s="133">
        <v>14</v>
      </c>
      <c r="L74" s="133" t="s">
        <v>90</v>
      </c>
      <c r="M74" s="133" t="s">
        <v>10</v>
      </c>
      <c r="N74" s="141" t="s">
        <v>62</v>
      </c>
      <c r="O74" s="80">
        <v>100</v>
      </c>
    </row>
    <row r="75" spans="1:15" s="23" customFormat="1" x14ac:dyDescent="0.2">
      <c r="A75" s="168" t="s">
        <v>88</v>
      </c>
      <c r="B75" s="133" t="s">
        <v>89</v>
      </c>
      <c r="C75" s="133">
        <v>8.2140000000000004</v>
      </c>
      <c r="D75" s="133">
        <v>5.4450000000000003</v>
      </c>
      <c r="E75" s="133">
        <v>5.0949999999999998</v>
      </c>
      <c r="F75" s="133">
        <v>5.0949999999999998</v>
      </c>
      <c r="G75" s="133">
        <v>5.0949999999999998</v>
      </c>
      <c r="H75" s="133">
        <v>5.0949999999999998</v>
      </c>
      <c r="I75" s="133">
        <v>5.0949999999999998</v>
      </c>
      <c r="J75" s="133">
        <v>100</v>
      </c>
      <c r="K75" s="133">
        <v>14</v>
      </c>
      <c r="L75" s="133" t="s">
        <v>90</v>
      </c>
      <c r="M75" s="133" t="s">
        <v>16</v>
      </c>
      <c r="N75" s="141" t="s">
        <v>63</v>
      </c>
      <c r="O75" s="80">
        <v>100</v>
      </c>
    </row>
    <row r="76" spans="1:15" s="23" customFormat="1" x14ac:dyDescent="0.2">
      <c r="A76" s="168" t="s">
        <v>88</v>
      </c>
      <c r="B76" s="133" t="s">
        <v>89</v>
      </c>
      <c r="C76" s="133">
        <v>16.295999999999999</v>
      </c>
      <c r="D76" s="133">
        <v>21.6</v>
      </c>
      <c r="E76" s="133">
        <v>18.035</v>
      </c>
      <c r="F76" s="133">
        <v>18.035</v>
      </c>
      <c r="G76" s="133">
        <v>18.036999999999999</v>
      </c>
      <c r="H76" s="133">
        <v>18.036999999999999</v>
      </c>
      <c r="I76" s="133">
        <v>18.036999999999999</v>
      </c>
      <c r="J76" s="133">
        <v>100</v>
      </c>
      <c r="K76" s="133">
        <v>14</v>
      </c>
      <c r="L76" s="133" t="s">
        <v>90</v>
      </c>
      <c r="M76" s="133" t="s">
        <v>91</v>
      </c>
      <c r="N76" s="141" t="s">
        <v>63</v>
      </c>
      <c r="O76" s="80">
        <v>100</v>
      </c>
    </row>
    <row r="77" spans="1:15" s="23" customFormat="1" x14ac:dyDescent="0.2">
      <c r="A77" s="168" t="s">
        <v>88</v>
      </c>
      <c r="B77" s="133" t="s">
        <v>89</v>
      </c>
      <c r="C77" s="133">
        <v>0.26800000000000002</v>
      </c>
      <c r="D77" s="134">
        <v>0</v>
      </c>
      <c r="E77" s="134">
        <v>0</v>
      </c>
      <c r="F77" s="134">
        <v>0</v>
      </c>
      <c r="G77" s="134">
        <v>0</v>
      </c>
      <c r="H77" s="134">
        <v>0</v>
      </c>
      <c r="I77" s="134">
        <v>0</v>
      </c>
      <c r="J77" s="133">
        <v>100</v>
      </c>
      <c r="K77" s="133">
        <v>14</v>
      </c>
      <c r="L77" s="133" t="s">
        <v>90</v>
      </c>
      <c r="M77" s="133" t="s">
        <v>112</v>
      </c>
      <c r="N77" s="141" t="s">
        <v>63</v>
      </c>
      <c r="O77" s="80">
        <v>100</v>
      </c>
    </row>
    <row r="78" spans="1:15" s="23" customFormat="1" ht="15" x14ac:dyDescent="0.25">
      <c r="A78" s="92"/>
      <c r="B78" s="3" t="s">
        <v>93</v>
      </c>
      <c r="C78" s="12">
        <f>SUM(C73:C77)</f>
        <v>59.402999999999999</v>
      </c>
      <c r="D78" s="12">
        <f t="shared" ref="D78:I78" si="4">SUM(D73:D77)</f>
        <v>61.105000000000004</v>
      </c>
      <c r="E78" s="12">
        <f t="shared" si="4"/>
        <v>57.174999999999997</v>
      </c>
      <c r="F78" s="12">
        <f t="shared" si="4"/>
        <v>56.954000000000008</v>
      </c>
      <c r="G78" s="12">
        <f t="shared" si="4"/>
        <v>56.957000000000001</v>
      </c>
      <c r="H78" s="12">
        <f t="shared" si="4"/>
        <v>56.957000000000001</v>
      </c>
      <c r="I78" s="12">
        <f t="shared" si="4"/>
        <v>56.957000000000001</v>
      </c>
      <c r="J78" s="3"/>
      <c r="K78" s="3"/>
      <c r="L78" s="1"/>
      <c r="M78" s="3"/>
      <c r="N78" s="3"/>
      <c r="O78" s="77"/>
    </row>
    <row r="79" spans="1:15" ht="15" x14ac:dyDescent="0.25">
      <c r="A79" s="92"/>
      <c r="B79" s="3"/>
      <c r="C79" s="12"/>
      <c r="D79" s="12"/>
      <c r="E79" s="12"/>
      <c r="F79" s="12"/>
      <c r="G79" s="12"/>
      <c r="H79" s="12"/>
      <c r="I79" s="12"/>
      <c r="J79" s="3"/>
      <c r="K79" s="3"/>
      <c r="L79" s="1"/>
      <c r="M79" s="3"/>
      <c r="N79" s="3"/>
      <c r="O79" s="77"/>
    </row>
    <row r="80" spans="1:15" ht="15" x14ac:dyDescent="0.25">
      <c r="A80" s="15"/>
      <c r="B80" s="29" t="s">
        <v>123</v>
      </c>
      <c r="C80" s="64"/>
      <c r="D80" s="67"/>
      <c r="E80" s="67"/>
      <c r="F80" s="67"/>
      <c r="G80" s="67"/>
      <c r="H80" s="67"/>
      <c r="I80" s="67"/>
      <c r="J80" s="30"/>
      <c r="K80" s="29"/>
      <c r="L80" s="127"/>
      <c r="M80" s="29"/>
      <c r="N80" s="29"/>
      <c r="O80" s="29"/>
    </row>
    <row r="81" spans="1:15" ht="15" x14ac:dyDescent="0.25">
      <c r="A81" s="168" t="s">
        <v>171</v>
      </c>
      <c r="B81" s="168" t="s">
        <v>172</v>
      </c>
      <c r="C81" s="173">
        <v>0.13300000000000001</v>
      </c>
      <c r="D81" s="173"/>
      <c r="E81" s="173"/>
      <c r="F81" s="173"/>
      <c r="G81" s="173"/>
      <c r="H81" s="173"/>
      <c r="I81" s="173"/>
      <c r="J81" s="174">
        <v>100</v>
      </c>
      <c r="K81" s="168">
        <v>4</v>
      </c>
      <c r="L81" s="168" t="s">
        <v>173</v>
      </c>
      <c r="M81" s="168" t="s">
        <v>172</v>
      </c>
      <c r="N81" s="168" t="s">
        <v>62</v>
      </c>
      <c r="O81" s="175">
        <v>0</v>
      </c>
    </row>
    <row r="82" spans="1:15" s="1" customFormat="1" ht="15" x14ac:dyDescent="0.25">
      <c r="A82" s="168" t="s">
        <v>196</v>
      </c>
      <c r="B82" s="168" t="s">
        <v>174</v>
      </c>
      <c r="C82" s="173">
        <v>0.6</v>
      </c>
      <c r="D82" s="173">
        <v>0.6</v>
      </c>
      <c r="E82" s="173">
        <v>0.6</v>
      </c>
      <c r="F82" s="173">
        <v>0.6</v>
      </c>
      <c r="G82" s="173">
        <v>0.6</v>
      </c>
      <c r="H82" s="173">
        <v>0.6</v>
      </c>
      <c r="I82" s="173">
        <v>0.6</v>
      </c>
      <c r="J82" s="174">
        <v>0.105687390789696</v>
      </c>
      <c r="K82" s="168">
        <v>4</v>
      </c>
      <c r="L82" s="168" t="s">
        <v>173</v>
      </c>
      <c r="M82" s="168" t="s">
        <v>175</v>
      </c>
      <c r="N82" s="168" t="s">
        <v>62</v>
      </c>
      <c r="O82" s="175">
        <v>0</v>
      </c>
    </row>
    <row r="83" spans="1:15" s="18" customFormat="1" ht="15" x14ac:dyDescent="0.25">
      <c r="A83" s="168" t="s">
        <v>377</v>
      </c>
      <c r="B83" s="168" t="s">
        <v>176</v>
      </c>
      <c r="C83" s="173">
        <v>0.13</v>
      </c>
      <c r="D83" s="173">
        <v>0.17</v>
      </c>
      <c r="E83" s="173">
        <v>0.13</v>
      </c>
      <c r="F83" s="173">
        <v>0.13</v>
      </c>
      <c r="G83" s="173">
        <v>0.13</v>
      </c>
      <c r="H83" s="173">
        <v>0.13</v>
      </c>
      <c r="I83" s="173">
        <v>0.13</v>
      </c>
      <c r="J83" s="174">
        <v>100</v>
      </c>
      <c r="K83" s="168">
        <v>4</v>
      </c>
      <c r="L83" s="168" t="s">
        <v>173</v>
      </c>
      <c r="M83" s="168" t="s">
        <v>176</v>
      </c>
      <c r="N83" s="168" t="s">
        <v>62</v>
      </c>
      <c r="O83" s="175">
        <v>0</v>
      </c>
    </row>
    <row r="84" spans="1:15" s="18" customFormat="1" ht="15" x14ac:dyDescent="0.25">
      <c r="A84" s="168" t="s">
        <v>171</v>
      </c>
      <c r="B84" s="168" t="s">
        <v>177</v>
      </c>
      <c r="C84" s="173">
        <v>0.3</v>
      </c>
      <c r="D84" s="173">
        <v>0.36299999999999999</v>
      </c>
      <c r="E84" s="173">
        <v>0.36299999999999999</v>
      </c>
      <c r="F84" s="173"/>
      <c r="G84" s="173"/>
      <c r="H84" s="173"/>
      <c r="I84" s="173"/>
      <c r="J84" s="174">
        <v>100</v>
      </c>
      <c r="K84" s="168">
        <v>4</v>
      </c>
      <c r="L84" s="168" t="s">
        <v>173</v>
      </c>
      <c r="M84" s="168" t="s">
        <v>178</v>
      </c>
      <c r="N84" s="168" t="s">
        <v>62</v>
      </c>
      <c r="O84" s="175">
        <v>0</v>
      </c>
    </row>
    <row r="85" spans="1:15" s="18" customFormat="1" ht="15" x14ac:dyDescent="0.25">
      <c r="A85" s="168" t="s">
        <v>449</v>
      </c>
      <c r="B85" s="168" t="s">
        <v>179</v>
      </c>
      <c r="C85" s="173">
        <v>25.832999999999998</v>
      </c>
      <c r="D85" s="173">
        <v>25.387</v>
      </c>
      <c r="E85" s="173">
        <v>22.408999999999999</v>
      </c>
      <c r="F85" s="173">
        <v>21.797000000000001</v>
      </c>
      <c r="G85" s="173">
        <v>20.542000000000002</v>
      </c>
      <c r="H85" s="173">
        <v>20.542000000000002</v>
      </c>
      <c r="I85" s="173">
        <v>20.542000000000002</v>
      </c>
      <c r="J85" s="174">
        <v>10.247768347113501</v>
      </c>
      <c r="K85" s="168">
        <v>2</v>
      </c>
      <c r="L85" s="168" t="s">
        <v>180</v>
      </c>
      <c r="M85" s="168" t="s">
        <v>181</v>
      </c>
      <c r="N85" s="168" t="s">
        <v>62</v>
      </c>
      <c r="O85" s="175">
        <v>0</v>
      </c>
    </row>
    <row r="86" spans="1:15" s="18" customFormat="1" ht="15" x14ac:dyDescent="0.25">
      <c r="A86" s="168" t="s">
        <v>451</v>
      </c>
      <c r="B86" s="168" t="s">
        <v>450</v>
      </c>
      <c r="C86" s="173">
        <v>8.3521328090000697</v>
      </c>
      <c r="D86" s="173">
        <v>7.5588570969712796</v>
      </c>
      <c r="E86" s="173">
        <v>7.2148271818199703</v>
      </c>
      <c r="F86" s="173">
        <v>7.0149761436084201</v>
      </c>
      <c r="G86" s="173">
        <v>6.9012381049109601</v>
      </c>
      <c r="H86" s="173">
        <v>6.8715383899896203</v>
      </c>
      <c r="I86" s="173">
        <v>6.8725427281753699</v>
      </c>
      <c r="J86" s="174">
        <v>28.791361115048396</v>
      </c>
      <c r="K86" s="168">
        <v>1.3</v>
      </c>
      <c r="L86" s="168"/>
      <c r="M86" s="168" t="s">
        <v>182</v>
      </c>
      <c r="N86" s="168" t="s">
        <v>62</v>
      </c>
      <c r="O86" s="175">
        <v>0</v>
      </c>
    </row>
    <row r="87" spans="1:15" s="18" customFormat="1" ht="15" x14ac:dyDescent="0.25">
      <c r="A87" s="168" t="s">
        <v>171</v>
      </c>
      <c r="B87" s="168" t="s">
        <v>445</v>
      </c>
      <c r="C87" s="173">
        <v>0.372</v>
      </c>
      <c r="D87" s="173">
        <v>0.25</v>
      </c>
      <c r="E87" s="173">
        <v>0.25</v>
      </c>
      <c r="F87" s="173">
        <v>0.2</v>
      </c>
      <c r="G87" s="173">
        <v>0.2</v>
      </c>
      <c r="H87" s="173">
        <v>0.15</v>
      </c>
      <c r="I87" s="173">
        <v>0.15</v>
      </c>
      <c r="J87" s="174">
        <v>100</v>
      </c>
      <c r="K87" s="168">
        <v>4</v>
      </c>
      <c r="L87" s="168" t="s">
        <v>173</v>
      </c>
      <c r="M87" s="168" t="s">
        <v>185</v>
      </c>
      <c r="N87" s="168" t="s">
        <v>62</v>
      </c>
      <c r="O87" s="175">
        <v>0</v>
      </c>
    </row>
    <row r="88" spans="1:15" s="3" customFormat="1" ht="15" x14ac:dyDescent="0.25">
      <c r="A88" s="168" t="s">
        <v>458</v>
      </c>
      <c r="B88" s="168" t="s">
        <v>186</v>
      </c>
      <c r="C88" s="173">
        <v>1.3149999999999999</v>
      </c>
      <c r="D88" s="173">
        <v>1.3149999999999999</v>
      </c>
      <c r="E88" s="173">
        <v>1.3149999999999999</v>
      </c>
      <c r="F88" s="173">
        <v>1.3149999999999999</v>
      </c>
      <c r="G88" s="173">
        <v>1.3149999999999999</v>
      </c>
      <c r="H88" s="173">
        <v>1.3149999999999999</v>
      </c>
      <c r="I88" s="173">
        <v>0</v>
      </c>
      <c r="J88" s="174">
        <v>2.8750710568892401</v>
      </c>
      <c r="K88" s="168">
        <v>4</v>
      </c>
      <c r="L88" s="168" t="s">
        <v>173</v>
      </c>
      <c r="M88" s="168" t="s">
        <v>187</v>
      </c>
      <c r="N88" s="168" t="s">
        <v>62</v>
      </c>
      <c r="O88" s="175">
        <v>0</v>
      </c>
    </row>
    <row r="89" spans="1:15" s="3" customFormat="1" ht="15" x14ac:dyDescent="0.25">
      <c r="A89" s="168" t="s">
        <v>171</v>
      </c>
      <c r="B89" s="168" t="s">
        <v>188</v>
      </c>
      <c r="C89" s="173">
        <v>0.08</v>
      </c>
      <c r="D89" s="173">
        <v>3.3000000000000002E-2</v>
      </c>
      <c r="E89" s="173">
        <v>3.3000000000000002E-2</v>
      </c>
      <c r="F89" s="173">
        <v>3.3000000000000002E-2</v>
      </c>
      <c r="G89" s="173">
        <v>3.3000000000000002E-2</v>
      </c>
      <c r="H89" s="173">
        <v>3.3000000000000002E-2</v>
      </c>
      <c r="I89" s="173">
        <v>3.3000000000000002E-2</v>
      </c>
      <c r="J89" s="174">
        <v>100</v>
      </c>
      <c r="K89" s="168">
        <v>4</v>
      </c>
      <c r="L89" s="168" t="s">
        <v>173</v>
      </c>
      <c r="M89" s="168" t="s">
        <v>189</v>
      </c>
      <c r="N89" s="168" t="s">
        <v>62</v>
      </c>
      <c r="O89" s="175">
        <v>0</v>
      </c>
    </row>
    <row r="90" spans="1:15" s="3" customFormat="1" ht="15" x14ac:dyDescent="0.25">
      <c r="A90" s="168" t="s">
        <v>459</v>
      </c>
      <c r="B90" s="168" t="s">
        <v>190</v>
      </c>
      <c r="C90" s="173">
        <v>3.7290000000000001</v>
      </c>
      <c r="D90" s="173">
        <v>3.7320000000000002</v>
      </c>
      <c r="E90" s="173">
        <v>3.9580000000000002</v>
      </c>
      <c r="F90" s="173">
        <v>3.9580000000000002</v>
      </c>
      <c r="G90" s="173">
        <v>3.9580000000000002</v>
      </c>
      <c r="H90" s="173">
        <v>3.9580000000000002</v>
      </c>
      <c r="I90" s="173">
        <v>3.9580000000000002</v>
      </c>
      <c r="J90" s="174">
        <v>22.771992405500299</v>
      </c>
      <c r="K90" s="168">
        <v>4</v>
      </c>
      <c r="L90" s="168" t="s">
        <v>173</v>
      </c>
      <c r="M90" s="168" t="s">
        <v>191</v>
      </c>
      <c r="N90" s="168" t="s">
        <v>62</v>
      </c>
      <c r="O90" s="175">
        <v>0</v>
      </c>
    </row>
    <row r="91" spans="1:15" s="3" customFormat="1" ht="15" x14ac:dyDescent="0.25">
      <c r="A91" s="168" t="s">
        <v>171</v>
      </c>
      <c r="B91" s="168" t="s">
        <v>446</v>
      </c>
      <c r="C91" s="173">
        <v>0.52500000000000002</v>
      </c>
      <c r="D91" s="173">
        <v>0.47499999999999998</v>
      </c>
      <c r="E91" s="173">
        <v>0.47499999999999998</v>
      </c>
      <c r="F91" s="173">
        <v>0.47499999999999998</v>
      </c>
      <c r="G91" s="173">
        <v>0.47499999999999998</v>
      </c>
      <c r="H91" s="173">
        <v>0.47499999999999998</v>
      </c>
      <c r="I91" s="173">
        <v>0.47499999999999998</v>
      </c>
      <c r="J91" s="174">
        <v>100</v>
      </c>
      <c r="K91" s="168">
        <v>4</v>
      </c>
      <c r="L91" s="168" t="s">
        <v>173</v>
      </c>
      <c r="M91" s="168" t="s">
        <v>192</v>
      </c>
      <c r="N91" s="168" t="s">
        <v>62</v>
      </c>
      <c r="O91" s="175">
        <v>0</v>
      </c>
    </row>
    <row r="92" spans="1:15" s="3" customFormat="1" ht="15" x14ac:dyDescent="0.25">
      <c r="A92" s="168" t="s">
        <v>460</v>
      </c>
      <c r="B92" s="168" t="s">
        <v>193</v>
      </c>
      <c r="C92" s="173">
        <v>0.89300000000000002</v>
      </c>
      <c r="D92" s="173">
        <v>1.321</v>
      </c>
      <c r="E92" s="173">
        <v>1.141</v>
      </c>
      <c r="F92" s="173">
        <v>1.141</v>
      </c>
      <c r="G92" s="173">
        <v>1.141</v>
      </c>
      <c r="H92" s="173">
        <v>1.141</v>
      </c>
      <c r="I92" s="173">
        <v>1.141</v>
      </c>
      <c r="J92" s="174">
        <v>3.6826646870864699</v>
      </c>
      <c r="K92" s="168">
        <v>2</v>
      </c>
      <c r="L92" s="168" t="s">
        <v>180</v>
      </c>
      <c r="M92" s="168" t="s">
        <v>48</v>
      </c>
      <c r="N92" s="168" t="s">
        <v>62</v>
      </c>
      <c r="O92" s="175">
        <v>0</v>
      </c>
    </row>
    <row r="93" spans="1:15" s="3" customFormat="1" ht="15" x14ac:dyDescent="0.25">
      <c r="A93" s="168" t="s">
        <v>171</v>
      </c>
      <c r="B93" s="168" t="s">
        <v>194</v>
      </c>
      <c r="C93" s="173">
        <v>0.7</v>
      </c>
      <c r="D93" s="173">
        <v>0.6</v>
      </c>
      <c r="E93" s="173">
        <v>0.6</v>
      </c>
      <c r="F93" s="173">
        <v>0.6</v>
      </c>
      <c r="G93" s="173">
        <v>0.6</v>
      </c>
      <c r="H93" s="173">
        <v>0.6</v>
      </c>
      <c r="I93" s="173">
        <v>0.6</v>
      </c>
      <c r="J93" s="174">
        <v>100</v>
      </c>
      <c r="K93" s="168">
        <v>4</v>
      </c>
      <c r="L93" s="168" t="s">
        <v>173</v>
      </c>
      <c r="M93" s="168" t="s">
        <v>195</v>
      </c>
      <c r="N93" s="168" t="s">
        <v>62</v>
      </c>
      <c r="O93" s="175">
        <v>0</v>
      </c>
    </row>
    <row r="94" spans="1:15" s="3" customFormat="1" ht="15" x14ac:dyDescent="0.25">
      <c r="A94" s="168" t="s">
        <v>447</v>
      </c>
      <c r="B94" s="168" t="s">
        <v>448</v>
      </c>
      <c r="C94" s="173">
        <v>0</v>
      </c>
      <c r="D94" s="173">
        <v>2.1019999999999999</v>
      </c>
      <c r="E94" s="173">
        <v>2.1019999999999999</v>
      </c>
      <c r="F94" s="173">
        <v>2.1019999999999999</v>
      </c>
      <c r="G94" s="173">
        <v>2.1019999999999999</v>
      </c>
      <c r="H94" s="173">
        <v>2.1019999999999999</v>
      </c>
      <c r="I94" s="173">
        <v>2.1019999999999999</v>
      </c>
      <c r="J94" s="174">
        <v>0.370258159066569</v>
      </c>
      <c r="K94" s="168">
        <v>4</v>
      </c>
      <c r="L94" s="168" t="s">
        <v>173</v>
      </c>
      <c r="M94" s="168" t="s">
        <v>512</v>
      </c>
      <c r="N94" s="168" t="s">
        <v>62</v>
      </c>
      <c r="O94" s="175">
        <v>0</v>
      </c>
    </row>
    <row r="95" spans="1:15" s="3" customFormat="1" ht="15" x14ac:dyDescent="0.25">
      <c r="A95" s="168" t="s">
        <v>196</v>
      </c>
      <c r="B95" s="168" t="s">
        <v>197</v>
      </c>
      <c r="C95" s="173">
        <v>0.1</v>
      </c>
      <c r="D95" s="173">
        <v>0.17499999999999999</v>
      </c>
      <c r="E95" s="173">
        <v>0.32500000000000001</v>
      </c>
      <c r="F95" s="173">
        <v>0.25</v>
      </c>
      <c r="G95" s="173">
        <v>0.25</v>
      </c>
      <c r="H95" s="173">
        <v>0.25</v>
      </c>
      <c r="I95" s="173">
        <v>0.25</v>
      </c>
      <c r="J95" s="174">
        <v>5.72473366777521E-2</v>
      </c>
      <c r="K95" s="168">
        <v>4</v>
      </c>
      <c r="L95" s="168" t="s">
        <v>173</v>
      </c>
      <c r="M95" s="168" t="s">
        <v>10</v>
      </c>
      <c r="N95" s="168" t="s">
        <v>63</v>
      </c>
      <c r="O95" s="175">
        <v>0</v>
      </c>
    </row>
    <row r="96" spans="1:15" s="3" customFormat="1" ht="15" x14ac:dyDescent="0.25">
      <c r="A96" s="168" t="s">
        <v>462</v>
      </c>
      <c r="B96" s="168" t="s">
        <v>198</v>
      </c>
      <c r="C96" s="173">
        <v>3.605</v>
      </c>
      <c r="D96" s="173">
        <v>3.3479999999999999</v>
      </c>
      <c r="E96" s="173">
        <v>3.22</v>
      </c>
      <c r="F96" s="173">
        <v>3.22</v>
      </c>
      <c r="G96" s="173">
        <v>3.22</v>
      </c>
      <c r="H96" s="173">
        <v>3.22</v>
      </c>
      <c r="I96" s="173">
        <v>3.22</v>
      </c>
      <c r="J96" s="174">
        <v>1.5001374349513401</v>
      </c>
      <c r="K96" s="168">
        <v>4</v>
      </c>
      <c r="L96" s="168" t="s">
        <v>173</v>
      </c>
      <c r="M96" s="168" t="s">
        <v>10</v>
      </c>
      <c r="N96" s="168" t="s">
        <v>63</v>
      </c>
      <c r="O96" s="175">
        <v>100</v>
      </c>
    </row>
    <row r="97" spans="1:22" s="3" customFormat="1" ht="15" x14ac:dyDescent="0.25">
      <c r="A97" s="168" t="s">
        <v>196</v>
      </c>
      <c r="B97" s="168" t="s">
        <v>199</v>
      </c>
      <c r="C97" s="173">
        <v>3.4</v>
      </c>
      <c r="D97" s="173">
        <v>3.2970000000000002</v>
      </c>
      <c r="E97" s="173">
        <v>3.4</v>
      </c>
      <c r="F97" s="173">
        <v>3.4</v>
      </c>
      <c r="G97" s="173">
        <v>3.4</v>
      </c>
      <c r="H97" s="173">
        <v>3.4</v>
      </c>
      <c r="I97" s="173">
        <v>3.4</v>
      </c>
      <c r="J97" s="174">
        <v>0.59889521447494498</v>
      </c>
      <c r="K97" s="168">
        <v>4</v>
      </c>
      <c r="L97" s="168" t="s">
        <v>173</v>
      </c>
      <c r="M97" s="168" t="s">
        <v>10</v>
      </c>
      <c r="N97" s="168" t="s">
        <v>63</v>
      </c>
      <c r="O97" s="175">
        <v>100</v>
      </c>
    </row>
    <row r="98" spans="1:22" s="3" customFormat="1" ht="15" x14ac:dyDescent="0.25">
      <c r="A98" s="168" t="s">
        <v>196</v>
      </c>
      <c r="B98" s="168" t="s">
        <v>461</v>
      </c>
      <c r="C98" s="173">
        <v>0.44</v>
      </c>
      <c r="D98" s="173">
        <v>0.4</v>
      </c>
      <c r="E98" s="173">
        <v>0.4</v>
      </c>
      <c r="F98" s="173">
        <v>0.4</v>
      </c>
      <c r="G98" s="173">
        <v>0.4</v>
      </c>
      <c r="H98" s="173">
        <v>0.4</v>
      </c>
      <c r="I98" s="173">
        <v>0.4</v>
      </c>
      <c r="J98" s="174">
        <v>7.0458260526464089E-2</v>
      </c>
      <c r="K98" s="168">
        <v>4</v>
      </c>
      <c r="L98" s="168" t="s">
        <v>173</v>
      </c>
      <c r="M98" s="168" t="s">
        <v>189</v>
      </c>
      <c r="N98" s="168" t="s">
        <v>63</v>
      </c>
      <c r="O98" s="175">
        <v>0</v>
      </c>
    </row>
    <row r="99" spans="1:22" s="3" customFormat="1" ht="15" x14ac:dyDescent="0.25">
      <c r="A99" s="168" t="s">
        <v>452</v>
      </c>
      <c r="B99" s="168" t="s">
        <v>183</v>
      </c>
      <c r="C99" s="173">
        <v>0.04</v>
      </c>
      <c r="D99" s="173">
        <v>3.9E-2</v>
      </c>
      <c r="E99" s="173">
        <v>0.05</v>
      </c>
      <c r="F99" s="173">
        <v>0.05</v>
      </c>
      <c r="G99" s="173">
        <v>0.05</v>
      </c>
      <c r="H99" s="173">
        <v>0.05</v>
      </c>
      <c r="I99" s="173">
        <v>0.05</v>
      </c>
      <c r="J99" s="174">
        <v>0.20012007204322602</v>
      </c>
      <c r="K99" s="168">
        <v>4</v>
      </c>
      <c r="L99" s="168" t="s">
        <v>173</v>
      </c>
      <c r="M99" s="168" t="s">
        <v>184</v>
      </c>
      <c r="N99" s="168" t="s">
        <v>63</v>
      </c>
      <c r="O99" s="175">
        <v>0</v>
      </c>
    </row>
    <row r="100" spans="1:22" s="3" customFormat="1" ht="15" x14ac:dyDescent="0.25">
      <c r="A100" s="168" t="s">
        <v>463</v>
      </c>
      <c r="B100" s="168" t="s">
        <v>200</v>
      </c>
      <c r="C100" s="173">
        <v>2.14</v>
      </c>
      <c r="D100" s="173">
        <v>2.1549999999999998</v>
      </c>
      <c r="E100" s="173">
        <v>2.17</v>
      </c>
      <c r="F100" s="173">
        <v>2.145</v>
      </c>
      <c r="G100" s="173">
        <v>2.145</v>
      </c>
      <c r="H100" s="173">
        <v>2.145</v>
      </c>
      <c r="I100" s="173">
        <v>2.145</v>
      </c>
      <c r="J100" s="174">
        <v>4.72016183412003</v>
      </c>
      <c r="K100" s="168">
        <v>4</v>
      </c>
      <c r="L100" s="168" t="s">
        <v>173</v>
      </c>
      <c r="M100" s="168" t="s">
        <v>201</v>
      </c>
      <c r="N100" s="168" t="s">
        <v>63</v>
      </c>
      <c r="O100" s="175">
        <v>0</v>
      </c>
    </row>
    <row r="101" spans="1:22" s="3" customFormat="1" ht="15" x14ac:dyDescent="0.25">
      <c r="A101" s="168" t="s">
        <v>454</v>
      </c>
      <c r="B101" s="168" t="s">
        <v>453</v>
      </c>
      <c r="C101" s="173">
        <v>1.1200000000000001</v>
      </c>
      <c r="D101" s="173">
        <v>1</v>
      </c>
      <c r="E101" s="173">
        <v>1</v>
      </c>
      <c r="F101" s="173">
        <v>1</v>
      </c>
      <c r="G101" s="173">
        <v>1</v>
      </c>
      <c r="H101" s="173">
        <v>0.75</v>
      </c>
      <c r="I101" s="173">
        <v>0.75</v>
      </c>
      <c r="J101" s="174">
        <v>2.18636582272946</v>
      </c>
      <c r="K101" s="168">
        <v>4</v>
      </c>
      <c r="L101" s="168" t="s">
        <v>173</v>
      </c>
      <c r="M101" s="168" t="s">
        <v>28</v>
      </c>
      <c r="N101" s="168" t="s">
        <v>63</v>
      </c>
      <c r="O101" s="175">
        <v>0</v>
      </c>
    </row>
    <row r="102" spans="1:22" s="3" customFormat="1" ht="15" x14ac:dyDescent="0.25">
      <c r="A102" s="168" t="s">
        <v>457</v>
      </c>
      <c r="B102" s="168" t="s">
        <v>455</v>
      </c>
      <c r="C102" s="173">
        <v>0.27500000000000002</v>
      </c>
      <c r="D102" s="173">
        <v>0.27500000000000002</v>
      </c>
      <c r="E102" s="173">
        <v>0.27500000000000002</v>
      </c>
      <c r="F102" s="173">
        <v>0.27500000000000002</v>
      </c>
      <c r="G102" s="173">
        <v>0.27500000000000002</v>
      </c>
      <c r="H102" s="173">
        <v>0.27500000000000002</v>
      </c>
      <c r="I102" s="173">
        <v>0</v>
      </c>
      <c r="J102" s="174">
        <v>0.60000002384185791</v>
      </c>
      <c r="K102" s="168">
        <v>4</v>
      </c>
      <c r="L102" s="168" t="s">
        <v>173</v>
      </c>
      <c r="M102" s="168" t="s">
        <v>456</v>
      </c>
      <c r="N102" s="168" t="s">
        <v>63</v>
      </c>
      <c r="O102" s="175">
        <v>0</v>
      </c>
    </row>
    <row r="103" spans="1:22" s="3" customFormat="1" ht="15" x14ac:dyDescent="0.25">
      <c r="A103" s="168" t="s">
        <v>464</v>
      </c>
      <c r="B103" s="168" t="s">
        <v>202</v>
      </c>
      <c r="C103" s="173">
        <v>11.183999999999999</v>
      </c>
      <c r="D103" s="173">
        <v>12.96</v>
      </c>
      <c r="E103" s="173">
        <v>13.641</v>
      </c>
      <c r="F103" s="173">
        <v>18.245000000000001</v>
      </c>
      <c r="G103" s="173">
        <v>1.0349999999999999</v>
      </c>
      <c r="H103" s="173">
        <v>1.0349999999999999</v>
      </c>
      <c r="I103" s="173">
        <v>0.98499999999999999</v>
      </c>
      <c r="J103" s="174">
        <v>2.0633417635740998</v>
      </c>
      <c r="K103" s="168">
        <v>4</v>
      </c>
      <c r="L103" s="168" t="s">
        <v>173</v>
      </c>
      <c r="M103" s="168" t="s">
        <v>63</v>
      </c>
      <c r="N103" s="168" t="s">
        <v>63</v>
      </c>
      <c r="O103" s="175">
        <v>0</v>
      </c>
    </row>
    <row r="104" spans="1:22" s="3" customFormat="1" ht="15" x14ac:dyDescent="0.25">
      <c r="A104" s="168" t="s">
        <v>464</v>
      </c>
      <c r="B104" s="168" t="s">
        <v>202</v>
      </c>
      <c r="C104" s="173">
        <v>2.6110000000000002</v>
      </c>
      <c r="D104" s="173">
        <v>1.25</v>
      </c>
      <c r="E104" s="173">
        <v>0.95</v>
      </c>
      <c r="F104" s="173">
        <v>0.95</v>
      </c>
      <c r="G104" s="173">
        <v>0.95</v>
      </c>
      <c r="H104" s="173">
        <v>0.95</v>
      </c>
      <c r="I104" s="173">
        <v>0.95</v>
      </c>
      <c r="J104" s="174">
        <v>0.143697285785162</v>
      </c>
      <c r="K104" s="168">
        <v>4</v>
      </c>
      <c r="L104" s="168" t="s">
        <v>173</v>
      </c>
      <c r="M104" s="168" t="s">
        <v>201</v>
      </c>
      <c r="N104" s="168" t="s">
        <v>63</v>
      </c>
      <c r="O104" s="175">
        <v>0</v>
      </c>
    </row>
    <row r="105" spans="1:22" s="92" customFormat="1" ht="15" x14ac:dyDescent="0.25">
      <c r="A105" s="212">
        <v>1213</v>
      </c>
      <c r="B105" s="168" t="s">
        <v>514</v>
      </c>
      <c r="C105" s="173">
        <v>0</v>
      </c>
      <c r="D105" s="173">
        <v>2.2999999999999998</v>
      </c>
      <c r="E105" s="173">
        <v>0</v>
      </c>
      <c r="F105" s="173">
        <v>0</v>
      </c>
      <c r="G105" s="173">
        <v>0</v>
      </c>
      <c r="H105" s="173">
        <v>0</v>
      </c>
      <c r="I105" s="173">
        <v>0</v>
      </c>
      <c r="J105" s="174">
        <v>0</v>
      </c>
      <c r="K105" s="168">
        <v>2</v>
      </c>
      <c r="L105" s="168" t="s">
        <v>180</v>
      </c>
      <c r="M105" s="168" t="s">
        <v>515</v>
      </c>
      <c r="N105" s="168" t="s">
        <v>63</v>
      </c>
      <c r="O105" s="175">
        <v>0</v>
      </c>
      <c r="P105" s="176"/>
      <c r="Q105" s="176"/>
      <c r="R105" s="176"/>
      <c r="S105" s="176"/>
      <c r="T105" s="176"/>
      <c r="U105" s="176"/>
      <c r="V105" s="176"/>
    </row>
    <row r="106" spans="1:22" s="3" customFormat="1" ht="15" x14ac:dyDescent="0.25">
      <c r="A106" s="92"/>
      <c r="B106" s="3" t="s">
        <v>124</v>
      </c>
      <c r="C106" s="12">
        <f>SUM(C81:C105)</f>
        <v>67.877132809000059</v>
      </c>
      <c r="D106" s="12">
        <f t="shared" ref="D106:I106" si="5">SUM(D81:D105)</f>
        <v>71.105857096971263</v>
      </c>
      <c r="E106" s="12">
        <f t="shared" si="5"/>
        <v>66.021827181819972</v>
      </c>
      <c r="F106" s="12">
        <f t="shared" si="5"/>
        <v>69.300976143608423</v>
      </c>
      <c r="G106" s="12">
        <f t="shared" si="5"/>
        <v>50.722238104910957</v>
      </c>
      <c r="H106" s="12">
        <f t="shared" si="5"/>
        <v>50.392538389989618</v>
      </c>
      <c r="I106" s="12">
        <f t="shared" si="5"/>
        <v>48.753542728175368</v>
      </c>
      <c r="L106" s="1"/>
      <c r="O106" s="77"/>
    </row>
    <row r="107" spans="1:22" s="3" customFormat="1" ht="15" x14ac:dyDescent="0.25">
      <c r="A107" s="1"/>
      <c r="B107" s="1"/>
      <c r="C107" s="63"/>
      <c r="D107" s="63"/>
      <c r="E107" s="63"/>
      <c r="F107" s="63"/>
      <c r="G107" s="63"/>
      <c r="H107" s="63"/>
      <c r="I107" s="63"/>
      <c r="J107" s="1"/>
      <c r="K107" s="1"/>
      <c r="L107" s="1"/>
      <c r="M107" s="1"/>
      <c r="N107" s="1"/>
      <c r="O107" s="76"/>
    </row>
    <row r="108" spans="1:22" s="3" customFormat="1" ht="15" x14ac:dyDescent="0.25">
      <c r="A108" s="16"/>
      <c r="B108" s="15" t="s">
        <v>3</v>
      </c>
      <c r="C108" s="68"/>
      <c r="D108" s="68"/>
      <c r="E108" s="68"/>
      <c r="F108" s="68"/>
      <c r="G108" s="68"/>
      <c r="H108" s="68"/>
      <c r="I108" s="68"/>
      <c r="J108" s="16"/>
      <c r="K108" s="16"/>
      <c r="L108" s="17"/>
      <c r="M108" s="16"/>
      <c r="N108" s="16"/>
      <c r="O108" s="16"/>
    </row>
    <row r="109" spans="1:22" s="3" customFormat="1" ht="15" x14ac:dyDescent="0.25">
      <c r="A109" s="92" t="s">
        <v>97</v>
      </c>
      <c r="B109" s="3" t="s">
        <v>4</v>
      </c>
      <c r="C109" s="12"/>
      <c r="D109" s="12"/>
      <c r="E109" s="12"/>
      <c r="F109" s="12"/>
      <c r="G109" s="12"/>
      <c r="H109" s="12"/>
      <c r="I109" s="12"/>
      <c r="L109" s="1"/>
      <c r="O109" s="77"/>
    </row>
    <row r="110" spans="1:22" s="3" customFormat="1" ht="15" x14ac:dyDescent="0.25">
      <c r="A110" s="169">
        <v>11</v>
      </c>
      <c r="B110" s="7" t="s">
        <v>5</v>
      </c>
      <c r="C110" s="177">
        <v>0.24349999999999999</v>
      </c>
      <c r="D110" s="177">
        <v>0.309</v>
      </c>
      <c r="E110" s="177">
        <v>0.26700000000000002</v>
      </c>
      <c r="F110" s="177">
        <v>0.26700000000000002</v>
      </c>
      <c r="G110" s="177">
        <v>0.26700000000000002</v>
      </c>
      <c r="H110" s="177">
        <v>0.26700000000000002</v>
      </c>
      <c r="I110" s="177">
        <v>0.26700000000000002</v>
      </c>
      <c r="J110" s="10">
        <v>50</v>
      </c>
      <c r="K110" s="10">
        <v>6</v>
      </c>
      <c r="L110" s="10" t="s">
        <v>246</v>
      </c>
      <c r="M110" s="10" t="s">
        <v>6</v>
      </c>
      <c r="N110" s="10" t="s">
        <v>63</v>
      </c>
      <c r="O110" s="78">
        <v>50</v>
      </c>
    </row>
    <row r="111" spans="1:22" s="3" customFormat="1" ht="15" x14ac:dyDescent="0.25">
      <c r="A111" s="169">
        <v>11</v>
      </c>
      <c r="B111" s="7" t="s">
        <v>7</v>
      </c>
      <c r="C111" s="177">
        <v>0.61420000000000008</v>
      </c>
      <c r="D111" s="177">
        <v>1.1084000000000001</v>
      </c>
      <c r="E111" s="177">
        <v>1.2872000000000001</v>
      </c>
      <c r="F111" s="177">
        <v>1.1319999999999999</v>
      </c>
      <c r="G111" s="177">
        <v>1.0964</v>
      </c>
      <c r="H111" s="177">
        <v>1.3129999999999999</v>
      </c>
      <c r="I111" s="177">
        <v>1.0924</v>
      </c>
      <c r="J111" s="10">
        <v>20</v>
      </c>
      <c r="K111" s="10">
        <v>4</v>
      </c>
      <c r="L111" s="168" t="s">
        <v>173</v>
      </c>
      <c r="M111" s="10" t="s">
        <v>8</v>
      </c>
      <c r="N111" s="10" t="s">
        <v>62</v>
      </c>
      <c r="O111" s="78">
        <v>0</v>
      </c>
    </row>
    <row r="112" spans="1:22" s="3" customFormat="1" ht="15" x14ac:dyDescent="0.25">
      <c r="A112" s="169">
        <v>11</v>
      </c>
      <c r="B112" s="7" t="s">
        <v>9</v>
      </c>
      <c r="C112" s="177">
        <v>3.5797500000000002</v>
      </c>
      <c r="D112" s="177">
        <v>3.5615000000000001</v>
      </c>
      <c r="E112" s="177">
        <v>3.3932500000000001</v>
      </c>
      <c r="F112" s="177">
        <v>3.23725</v>
      </c>
      <c r="G112" s="177">
        <v>3.06175</v>
      </c>
      <c r="H112" s="177">
        <v>3.06175</v>
      </c>
      <c r="I112" s="177">
        <v>3.06175</v>
      </c>
      <c r="J112" s="10">
        <v>25</v>
      </c>
      <c r="K112" s="10">
        <v>6</v>
      </c>
      <c r="L112" s="10" t="s">
        <v>246</v>
      </c>
      <c r="M112" s="10" t="s">
        <v>10</v>
      </c>
      <c r="N112" s="10" t="s">
        <v>62</v>
      </c>
      <c r="O112" s="78">
        <v>25</v>
      </c>
    </row>
    <row r="113" spans="1:15" s="3" customFormat="1" ht="15" x14ac:dyDescent="0.25">
      <c r="A113" s="169">
        <v>11</v>
      </c>
      <c r="B113" s="7" t="s">
        <v>11</v>
      </c>
      <c r="C113" s="177">
        <v>7.7695500000000006</v>
      </c>
      <c r="D113" s="177">
        <v>7.53775</v>
      </c>
      <c r="E113" s="177">
        <v>7.13</v>
      </c>
      <c r="F113" s="177">
        <v>6.8078500000000002</v>
      </c>
      <c r="G113" s="177">
        <v>6.5402500000000003</v>
      </c>
      <c r="H113" s="177">
        <v>6.5402500000000003</v>
      </c>
      <c r="I113" s="177">
        <v>6.5402500000000003</v>
      </c>
      <c r="J113" s="10">
        <v>5</v>
      </c>
      <c r="K113" s="10">
        <v>11</v>
      </c>
      <c r="L113" s="168" t="s">
        <v>95</v>
      </c>
      <c r="M113" s="10" t="s">
        <v>12</v>
      </c>
      <c r="N113" s="10" t="s">
        <v>62</v>
      </c>
      <c r="O113" s="78">
        <v>0</v>
      </c>
    </row>
    <row r="114" spans="1:15" s="3" customFormat="1" ht="15" x14ac:dyDescent="0.25">
      <c r="A114" s="170" t="s">
        <v>98</v>
      </c>
      <c r="B114" s="176" t="s">
        <v>13</v>
      </c>
      <c r="C114" s="178"/>
      <c r="D114" s="178"/>
      <c r="E114" s="178"/>
      <c r="F114" s="178"/>
      <c r="G114" s="178"/>
      <c r="H114" s="178"/>
      <c r="I114" s="178"/>
      <c r="J114" s="92"/>
      <c r="K114" s="92"/>
      <c r="L114" s="23"/>
      <c r="M114" s="92"/>
      <c r="N114" s="92"/>
      <c r="O114" s="179"/>
    </row>
    <row r="115" spans="1:15" s="3" customFormat="1" ht="15" x14ac:dyDescent="0.25">
      <c r="A115" s="7" t="s">
        <v>14</v>
      </c>
      <c r="B115" s="7" t="s">
        <v>69</v>
      </c>
      <c r="C115" s="142">
        <v>0.76200000000000001</v>
      </c>
      <c r="D115" s="142">
        <v>0.39700000000000002</v>
      </c>
      <c r="E115" s="142">
        <v>0</v>
      </c>
      <c r="F115" s="142">
        <v>0</v>
      </c>
      <c r="G115" s="142">
        <v>0</v>
      </c>
      <c r="H115" s="142">
        <v>0</v>
      </c>
      <c r="I115" s="142">
        <v>0</v>
      </c>
      <c r="J115" s="7">
        <v>100</v>
      </c>
      <c r="K115" s="7">
        <v>3</v>
      </c>
      <c r="L115" s="7" t="s">
        <v>145</v>
      </c>
      <c r="M115" s="7" t="s">
        <v>15</v>
      </c>
      <c r="N115" s="10" t="s">
        <v>63</v>
      </c>
      <c r="O115" s="78">
        <v>100</v>
      </c>
    </row>
    <row r="116" spans="1:15" s="3" customFormat="1" ht="15" x14ac:dyDescent="0.25">
      <c r="A116" s="7" t="s">
        <v>14</v>
      </c>
      <c r="B116" s="7" t="s">
        <v>69</v>
      </c>
      <c r="C116" s="142">
        <v>6.5549999999999997</v>
      </c>
      <c r="D116" s="142">
        <v>23.827000000000002</v>
      </c>
      <c r="E116" s="142">
        <v>3.0030000000000001</v>
      </c>
      <c r="F116" s="142">
        <v>2.504</v>
      </c>
      <c r="G116" s="142">
        <v>0</v>
      </c>
      <c r="H116" s="142">
        <v>0</v>
      </c>
      <c r="I116" s="142">
        <v>0</v>
      </c>
      <c r="J116" s="7">
        <v>100</v>
      </c>
      <c r="K116" s="7">
        <v>6</v>
      </c>
      <c r="L116" s="10" t="s">
        <v>246</v>
      </c>
      <c r="M116" s="7" t="s">
        <v>16</v>
      </c>
      <c r="N116" s="10" t="s">
        <v>63</v>
      </c>
      <c r="O116" s="78">
        <v>100</v>
      </c>
    </row>
    <row r="117" spans="1:15" s="3" customFormat="1" ht="15" x14ac:dyDescent="0.25">
      <c r="A117" s="7" t="s">
        <v>59</v>
      </c>
      <c r="B117" s="7" t="s">
        <v>387</v>
      </c>
      <c r="C117" s="142">
        <v>25.521999999999998</v>
      </c>
      <c r="D117" s="142">
        <v>31.733000000000001</v>
      </c>
      <c r="E117" s="142">
        <v>25.667000000000002</v>
      </c>
      <c r="F117" s="142">
        <v>33.646000000000001</v>
      </c>
      <c r="G117" s="142">
        <v>28.352</v>
      </c>
      <c r="H117" s="142">
        <v>21.202000000000002</v>
      </c>
      <c r="I117" s="142">
        <v>29.847999999999999</v>
      </c>
      <c r="J117" s="7">
        <v>100</v>
      </c>
      <c r="K117" s="7">
        <v>6</v>
      </c>
      <c r="L117" s="10" t="s">
        <v>246</v>
      </c>
      <c r="M117" s="7" t="s">
        <v>16</v>
      </c>
      <c r="N117" s="10" t="s">
        <v>63</v>
      </c>
      <c r="O117" s="78">
        <v>100</v>
      </c>
    </row>
    <row r="118" spans="1:15" s="3" customFormat="1" ht="15" x14ac:dyDescent="0.25">
      <c r="A118" s="7" t="s">
        <v>474</v>
      </c>
      <c r="B118" s="7" t="s">
        <v>387</v>
      </c>
      <c r="C118" s="142">
        <v>17.760000000000002</v>
      </c>
      <c r="D118" s="142">
        <v>44.606999999999999</v>
      </c>
      <c r="E118" s="142">
        <v>15.358000000000001</v>
      </c>
      <c r="F118" s="142">
        <v>18.378</v>
      </c>
      <c r="G118" s="142">
        <v>18.366</v>
      </c>
      <c r="H118" s="142">
        <v>17.661999999999999</v>
      </c>
      <c r="I118" s="142">
        <v>19.361999999999998</v>
      </c>
      <c r="J118" s="7">
        <v>100</v>
      </c>
      <c r="K118" s="7">
        <v>6</v>
      </c>
      <c r="L118" s="10" t="s">
        <v>246</v>
      </c>
      <c r="M118" s="7" t="s">
        <v>16</v>
      </c>
      <c r="N118" s="10" t="s">
        <v>63</v>
      </c>
      <c r="O118" s="78">
        <v>100</v>
      </c>
    </row>
    <row r="119" spans="1:15" s="3" customFormat="1" ht="15" x14ac:dyDescent="0.25">
      <c r="A119" s="7" t="s">
        <v>60</v>
      </c>
      <c r="B119" s="7" t="s">
        <v>388</v>
      </c>
      <c r="C119" s="142">
        <v>9.4009999999999998</v>
      </c>
      <c r="D119" s="142">
        <v>12.9969</v>
      </c>
      <c r="E119" s="142">
        <v>14.055299999999999</v>
      </c>
      <c r="F119" s="142">
        <v>14.2919</v>
      </c>
      <c r="G119" s="142">
        <v>19.794599999999999</v>
      </c>
      <c r="H119" s="142">
        <v>18.5318</v>
      </c>
      <c r="I119" s="142">
        <v>19.092500000000001</v>
      </c>
      <c r="J119" s="7">
        <v>70</v>
      </c>
      <c r="K119" s="7">
        <v>6</v>
      </c>
      <c r="L119" s="10" t="s">
        <v>246</v>
      </c>
      <c r="M119" s="7" t="s">
        <v>16</v>
      </c>
      <c r="N119" s="10" t="s">
        <v>63</v>
      </c>
      <c r="O119" s="78">
        <v>70</v>
      </c>
    </row>
    <row r="120" spans="1:15" s="3" customFormat="1" ht="15" x14ac:dyDescent="0.25">
      <c r="A120" s="7" t="s">
        <v>59</v>
      </c>
      <c r="B120" s="7" t="s">
        <v>389</v>
      </c>
      <c r="C120" s="142">
        <v>14.7582</v>
      </c>
      <c r="D120" s="142">
        <v>41.095800000000004</v>
      </c>
      <c r="E120" s="142">
        <v>30.619799999999998</v>
      </c>
      <c r="F120" s="142">
        <v>27.992699999999999</v>
      </c>
      <c r="G120" s="142">
        <v>26.2377</v>
      </c>
      <c r="H120" s="142">
        <v>25.460099999999997</v>
      </c>
      <c r="I120" s="142">
        <v>31.246200000000002</v>
      </c>
      <c r="J120" s="7">
        <v>90</v>
      </c>
      <c r="K120" s="7">
        <v>6</v>
      </c>
      <c r="L120" s="10" t="s">
        <v>246</v>
      </c>
      <c r="M120" s="7" t="s">
        <v>19</v>
      </c>
      <c r="N120" s="10" t="s">
        <v>63</v>
      </c>
      <c r="O120" s="78">
        <v>90</v>
      </c>
    </row>
    <row r="121" spans="1:15" s="3" customFormat="1" ht="15" x14ac:dyDescent="0.25">
      <c r="A121" s="7" t="s">
        <v>17</v>
      </c>
      <c r="B121" s="135" t="s">
        <v>390</v>
      </c>
      <c r="C121" s="142">
        <v>6</v>
      </c>
      <c r="D121" s="142">
        <v>16.2</v>
      </c>
      <c r="E121" s="142">
        <v>18.350000000000001</v>
      </c>
      <c r="F121" s="142">
        <v>16.3</v>
      </c>
      <c r="G121" s="142">
        <v>13.196</v>
      </c>
      <c r="H121" s="142">
        <v>11.696</v>
      </c>
      <c r="I121" s="142">
        <v>12.196</v>
      </c>
      <c r="J121" s="7">
        <v>50</v>
      </c>
      <c r="K121" s="7">
        <v>6</v>
      </c>
      <c r="L121" s="10" t="s">
        <v>246</v>
      </c>
      <c r="M121" s="7" t="s">
        <v>16</v>
      </c>
      <c r="N121" s="10" t="s">
        <v>63</v>
      </c>
      <c r="O121" s="78">
        <v>50</v>
      </c>
    </row>
    <row r="122" spans="1:15" s="1" customFormat="1" x14ac:dyDescent="0.2">
      <c r="A122" s="7" t="s">
        <v>18</v>
      </c>
      <c r="B122" s="7" t="s">
        <v>70</v>
      </c>
      <c r="C122" s="142">
        <v>7.2990000000000004</v>
      </c>
      <c r="D122" s="142">
        <v>10.555</v>
      </c>
      <c r="E122" s="142">
        <v>13.098000000000001</v>
      </c>
      <c r="F122" s="142">
        <v>15.502000000000001</v>
      </c>
      <c r="G122" s="142">
        <v>18.225999999999999</v>
      </c>
      <c r="H122" s="142">
        <v>18.376000000000001</v>
      </c>
      <c r="I122" s="142">
        <v>18.376000000000001</v>
      </c>
      <c r="J122" s="7">
        <v>100</v>
      </c>
      <c r="K122" s="7">
        <v>6</v>
      </c>
      <c r="L122" s="10" t="s">
        <v>246</v>
      </c>
      <c r="M122" s="7" t="s">
        <v>19</v>
      </c>
      <c r="N122" s="10" t="s">
        <v>63</v>
      </c>
      <c r="O122" s="78">
        <v>100</v>
      </c>
    </row>
    <row r="123" spans="1:15" s="2" customFormat="1" ht="15" x14ac:dyDescent="0.25">
      <c r="A123" s="7" t="s">
        <v>20</v>
      </c>
      <c r="B123" s="7" t="s">
        <v>72</v>
      </c>
      <c r="C123" s="142">
        <v>0.24299999999999999</v>
      </c>
      <c r="D123" s="142">
        <v>0.25</v>
      </c>
      <c r="E123" s="142">
        <v>0.25</v>
      </c>
      <c r="F123" s="142">
        <v>0.25</v>
      </c>
      <c r="G123" s="142">
        <v>0.25</v>
      </c>
      <c r="H123" s="142">
        <v>0.25</v>
      </c>
      <c r="I123" s="142">
        <v>0.25</v>
      </c>
      <c r="J123" s="7">
        <v>100</v>
      </c>
      <c r="K123" s="7">
        <v>4</v>
      </c>
      <c r="L123" s="168" t="s">
        <v>173</v>
      </c>
      <c r="M123" s="7" t="s">
        <v>21</v>
      </c>
      <c r="N123" s="7" t="s">
        <v>62</v>
      </c>
      <c r="O123" s="7">
        <v>100</v>
      </c>
    </row>
    <row r="124" spans="1:15" s="3" customFormat="1" ht="15" x14ac:dyDescent="0.25">
      <c r="A124" s="7" t="s">
        <v>20</v>
      </c>
      <c r="B124" s="7" t="s">
        <v>71</v>
      </c>
      <c r="C124" s="142">
        <v>17.015000000000001</v>
      </c>
      <c r="D124" s="142">
        <v>9.4909999999999997</v>
      </c>
      <c r="E124" s="142">
        <v>2.222</v>
      </c>
      <c r="F124" s="142">
        <v>2.4329999999999998</v>
      </c>
      <c r="G124" s="142">
        <v>0.48799999999999999</v>
      </c>
      <c r="H124" s="142">
        <v>0.48799999999999999</v>
      </c>
      <c r="I124" s="142">
        <v>0.48799999999999999</v>
      </c>
      <c r="J124" s="7">
        <v>100</v>
      </c>
      <c r="K124" s="7">
        <v>6</v>
      </c>
      <c r="L124" s="10" t="s">
        <v>246</v>
      </c>
      <c r="M124" s="7" t="s">
        <v>23</v>
      </c>
      <c r="N124" s="10" t="s">
        <v>63</v>
      </c>
      <c r="O124" s="7">
        <v>100</v>
      </c>
    </row>
    <row r="125" spans="1:15" x14ac:dyDescent="0.2">
      <c r="A125" s="7" t="s">
        <v>20</v>
      </c>
      <c r="B125" s="7" t="s">
        <v>71</v>
      </c>
      <c r="C125" s="142">
        <v>0.90160000000000007</v>
      </c>
      <c r="D125" s="142">
        <v>1.2</v>
      </c>
      <c r="E125" s="142">
        <v>2.4</v>
      </c>
      <c r="F125" s="142">
        <v>1.2</v>
      </c>
      <c r="G125" s="142">
        <v>0</v>
      </c>
      <c r="H125" s="142">
        <v>0</v>
      </c>
      <c r="I125" s="142">
        <v>0</v>
      </c>
      <c r="J125" s="7">
        <v>80</v>
      </c>
      <c r="K125" s="7">
        <v>6</v>
      </c>
      <c r="L125" s="10" t="s">
        <v>246</v>
      </c>
      <c r="M125" s="7"/>
      <c r="N125" s="10" t="s">
        <v>63</v>
      </c>
      <c r="O125" s="7">
        <v>80</v>
      </c>
    </row>
    <row r="126" spans="1:15" x14ac:dyDescent="0.2">
      <c r="A126" s="7" t="s">
        <v>20</v>
      </c>
      <c r="B126" s="7" t="s">
        <v>73</v>
      </c>
      <c r="C126" s="142">
        <v>0.11700000000000001</v>
      </c>
      <c r="D126" s="142">
        <v>0.188</v>
      </c>
      <c r="E126" s="142">
        <v>0.17899999999999999</v>
      </c>
      <c r="F126" s="142">
        <v>0.17</v>
      </c>
      <c r="G126" s="142">
        <v>0.161</v>
      </c>
      <c r="H126" s="142">
        <v>0.152</v>
      </c>
      <c r="I126" s="142">
        <v>0.152</v>
      </c>
      <c r="J126" s="7">
        <v>100</v>
      </c>
      <c r="K126" s="7">
        <v>11</v>
      </c>
      <c r="L126" s="168" t="s">
        <v>95</v>
      </c>
      <c r="M126" s="7" t="s">
        <v>10</v>
      </c>
      <c r="N126" s="10" t="s">
        <v>62</v>
      </c>
      <c r="O126" s="7">
        <v>100</v>
      </c>
    </row>
    <row r="127" spans="1:15" x14ac:dyDescent="0.2">
      <c r="A127" s="7" t="s">
        <v>20</v>
      </c>
      <c r="B127" s="7" t="s">
        <v>74</v>
      </c>
      <c r="C127" s="142">
        <v>8.2000000000000003E-2</v>
      </c>
      <c r="D127" s="142">
        <v>0</v>
      </c>
      <c r="E127" s="142">
        <v>0</v>
      </c>
      <c r="F127" s="142">
        <v>0</v>
      </c>
      <c r="G127" s="142">
        <v>0</v>
      </c>
      <c r="H127" s="142">
        <v>0</v>
      </c>
      <c r="I127" s="142">
        <v>0</v>
      </c>
      <c r="J127" s="7">
        <v>100</v>
      </c>
      <c r="K127" s="78" t="s">
        <v>22</v>
      </c>
      <c r="L127" s="7"/>
      <c r="M127" s="7" t="s">
        <v>16</v>
      </c>
      <c r="N127" s="10" t="s">
        <v>63</v>
      </c>
      <c r="O127" s="7">
        <v>100</v>
      </c>
    </row>
    <row r="128" spans="1:15" x14ac:dyDescent="0.2">
      <c r="A128" s="7" t="s">
        <v>391</v>
      </c>
      <c r="B128" s="7" t="s">
        <v>532</v>
      </c>
      <c r="C128" s="142">
        <v>0.19750000000000001</v>
      </c>
      <c r="D128" s="142">
        <v>6.4344999999999999</v>
      </c>
      <c r="E128" s="142">
        <v>5.8070000000000004</v>
      </c>
      <c r="F128" s="142">
        <v>5.8070000000000004</v>
      </c>
      <c r="G128" s="142">
        <v>11.058</v>
      </c>
      <c r="H128" s="142">
        <v>8.0574999999999992</v>
      </c>
      <c r="I128" s="142">
        <v>8.0574999999999992</v>
      </c>
      <c r="J128" s="7">
        <v>50</v>
      </c>
      <c r="K128" s="78">
        <v>6</v>
      </c>
      <c r="L128" s="10" t="s">
        <v>246</v>
      </c>
      <c r="M128" s="7" t="s">
        <v>16</v>
      </c>
      <c r="N128" s="10" t="s">
        <v>63</v>
      </c>
      <c r="O128" s="7">
        <v>50</v>
      </c>
    </row>
    <row r="129" spans="1:15" x14ac:dyDescent="0.2">
      <c r="A129" s="7" t="s">
        <v>20</v>
      </c>
      <c r="B129" s="7" t="s">
        <v>75</v>
      </c>
      <c r="C129" s="142">
        <v>138.851</v>
      </c>
      <c r="D129" s="142">
        <v>121.747</v>
      </c>
      <c r="E129" s="142">
        <v>134.75</v>
      </c>
      <c r="F129" s="142">
        <v>129.131</v>
      </c>
      <c r="G129" s="142">
        <v>127.01900000000001</v>
      </c>
      <c r="H129" s="142">
        <v>127.01900000000001</v>
      </c>
      <c r="I129" s="142">
        <v>127.01900000000001</v>
      </c>
      <c r="J129" s="7">
        <v>100</v>
      </c>
      <c r="K129" s="7">
        <v>6</v>
      </c>
      <c r="L129" s="10" t="s">
        <v>246</v>
      </c>
      <c r="M129" s="7" t="s">
        <v>24</v>
      </c>
      <c r="N129" s="7" t="s">
        <v>62</v>
      </c>
      <c r="O129" s="7">
        <v>100</v>
      </c>
    </row>
    <row r="130" spans="1:15" x14ac:dyDescent="0.2">
      <c r="A130" s="7" t="s">
        <v>25</v>
      </c>
      <c r="B130" s="7" t="s">
        <v>76</v>
      </c>
      <c r="C130" s="142">
        <v>4.5389999999999997</v>
      </c>
      <c r="D130" s="142">
        <v>14.039</v>
      </c>
      <c r="E130" s="142">
        <v>23.678999999999998</v>
      </c>
      <c r="F130" s="142">
        <v>33.707000000000001</v>
      </c>
      <c r="G130" s="142">
        <v>39.723999999999997</v>
      </c>
      <c r="H130" s="142">
        <v>39.723999999999997</v>
      </c>
      <c r="I130" s="142">
        <v>39.723999999999997</v>
      </c>
      <c r="J130" s="7">
        <v>100</v>
      </c>
      <c r="K130" s="7">
        <v>6</v>
      </c>
      <c r="L130" s="10" t="s">
        <v>246</v>
      </c>
      <c r="M130" s="7" t="s">
        <v>19</v>
      </c>
      <c r="N130" s="10" t="s">
        <v>63</v>
      </c>
      <c r="O130" s="7">
        <v>100</v>
      </c>
    </row>
    <row r="131" spans="1:15" s="3" customFormat="1" ht="15" x14ac:dyDescent="0.25">
      <c r="A131" s="7" t="s">
        <v>25</v>
      </c>
      <c r="B131" s="7" t="s">
        <v>77</v>
      </c>
      <c r="C131" s="142">
        <v>58.011000000000003</v>
      </c>
      <c r="D131" s="142">
        <v>51.345999999999997</v>
      </c>
      <c r="E131" s="142">
        <v>75.364000000000004</v>
      </c>
      <c r="F131" s="142">
        <v>94.195999999999998</v>
      </c>
      <c r="G131" s="142">
        <v>106.34</v>
      </c>
      <c r="H131" s="142">
        <v>113.598</v>
      </c>
      <c r="I131" s="142">
        <v>118.598</v>
      </c>
      <c r="J131" s="7">
        <v>100</v>
      </c>
      <c r="K131" s="78" t="s">
        <v>22</v>
      </c>
      <c r="L131" s="7"/>
      <c r="M131" s="7" t="s">
        <v>19</v>
      </c>
      <c r="N131" s="10" t="s">
        <v>63</v>
      </c>
      <c r="O131" s="7">
        <v>100</v>
      </c>
    </row>
    <row r="132" spans="1:15" x14ac:dyDescent="0.2">
      <c r="A132" s="7" t="s">
        <v>26</v>
      </c>
      <c r="B132" s="7" t="s">
        <v>78</v>
      </c>
      <c r="C132" s="142">
        <v>4.0419999999999998</v>
      </c>
      <c r="D132" s="142">
        <v>4.3079999999999998</v>
      </c>
      <c r="E132" s="142">
        <v>3.2879999999999998</v>
      </c>
      <c r="F132" s="142">
        <v>3.222</v>
      </c>
      <c r="G132" s="142">
        <v>3.2029999999999998</v>
      </c>
      <c r="H132" s="142">
        <v>3.2029999999999998</v>
      </c>
      <c r="I132" s="142">
        <v>3.2029999999999998</v>
      </c>
      <c r="J132" s="7">
        <v>100</v>
      </c>
      <c r="K132" s="7">
        <v>4</v>
      </c>
      <c r="L132" s="168" t="s">
        <v>173</v>
      </c>
      <c r="M132" s="7" t="s">
        <v>10</v>
      </c>
      <c r="N132" s="7" t="s">
        <v>62</v>
      </c>
      <c r="O132" s="7">
        <v>100</v>
      </c>
    </row>
    <row r="133" spans="1:15" x14ac:dyDescent="0.2">
      <c r="A133" s="7" t="s">
        <v>26</v>
      </c>
      <c r="B133" s="7" t="s">
        <v>79</v>
      </c>
      <c r="C133" s="142">
        <v>11.707000000000001</v>
      </c>
      <c r="D133" s="142">
        <v>10.696</v>
      </c>
      <c r="E133" s="142">
        <v>9.1479999999999997</v>
      </c>
      <c r="F133" s="142">
        <v>8.9540000000000006</v>
      </c>
      <c r="G133" s="142">
        <v>8.9019999999999992</v>
      </c>
      <c r="H133" s="142">
        <v>8.9019999999999992</v>
      </c>
      <c r="I133" s="142">
        <v>8.9019999999999992</v>
      </c>
      <c r="J133" s="7">
        <v>100</v>
      </c>
      <c r="K133" s="7">
        <v>4</v>
      </c>
      <c r="L133" s="168" t="s">
        <v>173</v>
      </c>
      <c r="M133" s="7" t="s">
        <v>10</v>
      </c>
      <c r="N133" s="7" t="s">
        <v>62</v>
      </c>
      <c r="O133" s="7">
        <v>100</v>
      </c>
    </row>
    <row r="134" spans="1:15" x14ac:dyDescent="0.2">
      <c r="A134" s="7" t="s">
        <v>26</v>
      </c>
      <c r="B134" s="7" t="s">
        <v>80</v>
      </c>
      <c r="C134" s="142">
        <v>27.279</v>
      </c>
      <c r="D134" s="142">
        <v>29.402999999999999</v>
      </c>
      <c r="E134" s="142">
        <v>19.908000000000001</v>
      </c>
      <c r="F134" s="142">
        <v>18.806999999999999</v>
      </c>
      <c r="G134" s="142">
        <v>17.975999999999999</v>
      </c>
      <c r="H134" s="142">
        <v>17.975999999999999</v>
      </c>
      <c r="I134" s="142">
        <v>17.975999999999999</v>
      </c>
      <c r="J134" s="7">
        <v>100</v>
      </c>
      <c r="K134" s="7">
        <v>3</v>
      </c>
      <c r="L134" s="7" t="s">
        <v>145</v>
      </c>
      <c r="M134" s="7" t="s">
        <v>10</v>
      </c>
      <c r="N134" s="10" t="s">
        <v>62</v>
      </c>
      <c r="O134" s="7">
        <v>100</v>
      </c>
    </row>
    <row r="135" spans="1:15" x14ac:dyDescent="0.2">
      <c r="A135" s="7" t="s">
        <v>27</v>
      </c>
      <c r="B135" s="7" t="s">
        <v>81</v>
      </c>
      <c r="C135" s="142">
        <v>24.51</v>
      </c>
      <c r="D135" s="142">
        <v>19.936</v>
      </c>
      <c r="E135" s="142">
        <v>25.824999999999999</v>
      </c>
      <c r="F135" s="142">
        <v>25.599</v>
      </c>
      <c r="G135" s="142">
        <v>26.02</v>
      </c>
      <c r="H135" s="142">
        <v>25.27</v>
      </c>
      <c r="I135" s="142">
        <v>25.27</v>
      </c>
      <c r="J135" s="7">
        <v>100</v>
      </c>
      <c r="K135" s="7">
        <v>6</v>
      </c>
      <c r="L135" s="10" t="s">
        <v>246</v>
      </c>
      <c r="M135" s="7" t="s">
        <v>28</v>
      </c>
      <c r="N135" s="10" t="s">
        <v>62</v>
      </c>
      <c r="O135" s="7">
        <v>100</v>
      </c>
    </row>
    <row r="136" spans="1:15" x14ac:dyDescent="0.2">
      <c r="A136" s="7" t="s">
        <v>27</v>
      </c>
      <c r="B136" s="7" t="s">
        <v>408</v>
      </c>
      <c r="C136" s="142">
        <v>0</v>
      </c>
      <c r="D136" s="142">
        <v>11.603999999999999</v>
      </c>
      <c r="E136" s="142">
        <v>1.19</v>
      </c>
      <c r="F136" s="142">
        <v>2.5999999999999999E-2</v>
      </c>
      <c r="G136" s="142">
        <v>1.0999999999999999E-2</v>
      </c>
      <c r="H136" s="142">
        <v>6.0999999999999999E-2</v>
      </c>
      <c r="I136" s="142">
        <v>0.56100000000000005</v>
      </c>
      <c r="J136" s="7">
        <v>100</v>
      </c>
      <c r="K136" s="7">
        <v>6.13</v>
      </c>
      <c r="L136" s="7"/>
      <c r="M136" s="7" t="s">
        <v>29</v>
      </c>
      <c r="N136" s="10" t="s">
        <v>62</v>
      </c>
      <c r="O136" s="7">
        <v>100</v>
      </c>
    </row>
    <row r="137" spans="1:15" x14ac:dyDescent="0.2">
      <c r="A137" s="7" t="s">
        <v>27</v>
      </c>
      <c r="B137" s="7" t="s">
        <v>82</v>
      </c>
      <c r="C137" s="142">
        <v>1.7478999999999998</v>
      </c>
      <c r="D137" s="142">
        <v>0</v>
      </c>
      <c r="E137" s="142">
        <v>0</v>
      </c>
      <c r="F137" s="142">
        <v>0</v>
      </c>
      <c r="G137" s="142">
        <v>0</v>
      </c>
      <c r="H137" s="142">
        <v>0</v>
      </c>
      <c r="I137" s="142">
        <v>0</v>
      </c>
      <c r="J137" s="7">
        <v>70</v>
      </c>
      <c r="K137" s="7">
        <v>6</v>
      </c>
      <c r="L137" s="10" t="s">
        <v>246</v>
      </c>
      <c r="M137" s="7" t="s">
        <v>397</v>
      </c>
      <c r="N137" s="10" t="s">
        <v>63</v>
      </c>
      <c r="O137" s="7">
        <v>100</v>
      </c>
    </row>
    <row r="138" spans="1:15" x14ac:dyDescent="0.2">
      <c r="A138" s="7" t="s">
        <v>27</v>
      </c>
      <c r="B138" s="7" t="s">
        <v>398</v>
      </c>
      <c r="C138" s="142">
        <v>9.1750000000000007</v>
      </c>
      <c r="D138" s="142">
        <v>5.0339999999999998</v>
      </c>
      <c r="E138" s="142">
        <v>1.2090000000000001</v>
      </c>
      <c r="F138" s="142">
        <v>0</v>
      </c>
      <c r="G138" s="142">
        <v>0</v>
      </c>
      <c r="H138" s="142">
        <v>0</v>
      </c>
      <c r="I138" s="142">
        <v>0</v>
      </c>
      <c r="J138" s="7">
        <v>100</v>
      </c>
      <c r="K138" s="7">
        <v>6</v>
      </c>
      <c r="L138" s="10" t="s">
        <v>246</v>
      </c>
      <c r="M138" s="7" t="s">
        <v>10</v>
      </c>
      <c r="N138" s="10" t="s">
        <v>62</v>
      </c>
      <c r="O138" s="7">
        <v>100</v>
      </c>
    </row>
    <row r="139" spans="1:15" x14ac:dyDescent="0.2">
      <c r="A139" s="7" t="s">
        <v>27</v>
      </c>
      <c r="B139" s="7" t="s">
        <v>395</v>
      </c>
      <c r="C139" s="142">
        <v>4.2089999999999996</v>
      </c>
      <c r="D139" s="142">
        <v>3.8050000000000002</v>
      </c>
      <c r="E139" s="142">
        <v>1.262</v>
      </c>
      <c r="F139" s="142">
        <v>0.91700000000000004</v>
      </c>
      <c r="G139" s="142">
        <v>0</v>
      </c>
      <c r="H139" s="142">
        <v>0</v>
      </c>
      <c r="I139" s="142">
        <v>0</v>
      </c>
      <c r="J139" s="7">
        <v>100</v>
      </c>
      <c r="K139" s="7">
        <v>4</v>
      </c>
      <c r="L139" s="168" t="s">
        <v>173</v>
      </c>
      <c r="M139" s="7" t="s">
        <v>10</v>
      </c>
      <c r="N139" s="10" t="s">
        <v>63</v>
      </c>
      <c r="O139" s="7">
        <v>100</v>
      </c>
    </row>
    <row r="140" spans="1:15" x14ac:dyDescent="0.2">
      <c r="A140" s="7" t="s">
        <v>27</v>
      </c>
      <c r="B140" s="7" t="s">
        <v>83</v>
      </c>
      <c r="C140" s="142">
        <v>121.956</v>
      </c>
      <c r="D140" s="142">
        <v>71.718999999999994</v>
      </c>
      <c r="E140" s="142">
        <v>31.225999999999999</v>
      </c>
      <c r="F140" s="142">
        <v>14.819000000000001</v>
      </c>
      <c r="G140" s="142">
        <v>5.5030000000000001</v>
      </c>
      <c r="H140" s="142">
        <v>7.734</v>
      </c>
      <c r="I140" s="142">
        <v>6.0839999999999996</v>
      </c>
      <c r="J140" s="7">
        <v>100</v>
      </c>
      <c r="K140" s="7">
        <v>6</v>
      </c>
      <c r="L140" s="10" t="s">
        <v>246</v>
      </c>
      <c r="M140" s="7" t="s">
        <v>30</v>
      </c>
      <c r="N140" s="10" t="s">
        <v>63</v>
      </c>
      <c r="O140" s="7">
        <v>100</v>
      </c>
    </row>
    <row r="141" spans="1:15" x14ac:dyDescent="0.2">
      <c r="A141" s="7" t="s">
        <v>27</v>
      </c>
      <c r="B141" s="7" t="s">
        <v>396</v>
      </c>
      <c r="C141" s="142">
        <v>0.1014</v>
      </c>
      <c r="D141" s="142">
        <v>0.30019999999999997</v>
      </c>
      <c r="E141" s="142">
        <v>0.2</v>
      </c>
      <c r="F141" s="142">
        <v>0.05</v>
      </c>
      <c r="G141" s="142">
        <v>0</v>
      </c>
      <c r="H141" s="142">
        <v>0</v>
      </c>
      <c r="I141" s="142">
        <v>0</v>
      </c>
      <c r="J141" s="7">
        <v>20</v>
      </c>
      <c r="K141" s="7">
        <v>10</v>
      </c>
      <c r="L141" s="168" t="s">
        <v>108</v>
      </c>
      <c r="M141" s="7" t="s">
        <v>31</v>
      </c>
      <c r="N141" s="10" t="s">
        <v>63</v>
      </c>
      <c r="O141" s="78">
        <v>100</v>
      </c>
    </row>
    <row r="142" spans="1:15" x14ac:dyDescent="0.2">
      <c r="A142" s="7" t="s">
        <v>27</v>
      </c>
      <c r="B142" s="7" t="s">
        <v>465</v>
      </c>
      <c r="C142" s="142">
        <v>7.0250000000000004</v>
      </c>
      <c r="D142" s="142">
        <v>4.1769999999999996</v>
      </c>
      <c r="E142" s="142">
        <v>5.0979999999999999</v>
      </c>
      <c r="F142" s="142">
        <v>1.85</v>
      </c>
      <c r="G142" s="142">
        <v>1.9</v>
      </c>
      <c r="H142" s="142">
        <v>1.1499999999999999</v>
      </c>
      <c r="I142" s="142">
        <v>0.4</v>
      </c>
      <c r="J142" s="7">
        <v>100</v>
      </c>
      <c r="K142" s="78" t="s">
        <v>466</v>
      </c>
      <c r="L142" s="168"/>
      <c r="M142" s="7" t="s">
        <v>28</v>
      </c>
      <c r="N142" s="10" t="s">
        <v>63</v>
      </c>
      <c r="O142" s="78">
        <v>100</v>
      </c>
    </row>
    <row r="143" spans="1:15" x14ac:dyDescent="0.2">
      <c r="A143" s="7" t="s">
        <v>392</v>
      </c>
      <c r="B143" s="7" t="s">
        <v>84</v>
      </c>
      <c r="C143" s="142">
        <v>90.153999999999996</v>
      </c>
      <c r="D143" s="142">
        <v>64.061000000000007</v>
      </c>
      <c r="E143" s="142">
        <v>76.775999999999996</v>
      </c>
      <c r="F143" s="142">
        <v>64.013000000000005</v>
      </c>
      <c r="G143" s="142">
        <v>52.935000000000002</v>
      </c>
      <c r="H143" s="142">
        <v>52.936</v>
      </c>
      <c r="I143" s="142">
        <v>53.081000000000003</v>
      </c>
      <c r="J143" s="7">
        <v>100</v>
      </c>
      <c r="K143" s="7">
        <v>3</v>
      </c>
      <c r="L143" s="7" t="s">
        <v>145</v>
      </c>
      <c r="M143" s="7" t="s">
        <v>15</v>
      </c>
      <c r="N143" s="10" t="s">
        <v>63</v>
      </c>
      <c r="O143" s="78">
        <v>50</v>
      </c>
    </row>
    <row r="144" spans="1:15" ht="15" x14ac:dyDescent="0.25">
      <c r="A144" s="92" t="s">
        <v>348</v>
      </c>
      <c r="B144" s="92" t="s">
        <v>349</v>
      </c>
      <c r="C144" s="143"/>
      <c r="D144" s="143"/>
      <c r="E144" s="143"/>
      <c r="F144" s="143"/>
      <c r="G144" s="143"/>
      <c r="H144" s="143"/>
      <c r="I144" s="143"/>
      <c r="J144" s="23"/>
      <c r="K144" s="23"/>
      <c r="L144" s="128"/>
      <c r="M144" s="23"/>
      <c r="N144" s="128"/>
      <c r="O144" s="79"/>
    </row>
    <row r="145" spans="1:15" x14ac:dyDescent="0.2">
      <c r="A145" s="7" t="s">
        <v>32</v>
      </c>
      <c r="B145" s="7" t="s">
        <v>85</v>
      </c>
      <c r="C145" s="142">
        <v>1.9350000000000001</v>
      </c>
      <c r="D145" s="142">
        <v>0.25</v>
      </c>
      <c r="E145" s="142">
        <v>1.5</v>
      </c>
      <c r="F145" s="142">
        <v>1</v>
      </c>
      <c r="G145" s="142">
        <v>0.25</v>
      </c>
      <c r="H145" s="142">
        <v>0</v>
      </c>
      <c r="I145" s="142">
        <v>0</v>
      </c>
      <c r="J145" s="7">
        <v>100</v>
      </c>
      <c r="K145" s="7">
        <v>1.6</v>
      </c>
      <c r="L145" s="7"/>
      <c r="M145" s="7" t="s">
        <v>33</v>
      </c>
      <c r="N145" s="10" t="s">
        <v>63</v>
      </c>
      <c r="O145" s="78">
        <v>100</v>
      </c>
    </row>
    <row r="146" spans="1:15" x14ac:dyDescent="0.2">
      <c r="A146" s="7" t="s">
        <v>32</v>
      </c>
      <c r="B146" s="7" t="s">
        <v>85</v>
      </c>
      <c r="C146" s="142">
        <v>6.5000000000000002E-2</v>
      </c>
      <c r="D146" s="142">
        <v>0</v>
      </c>
      <c r="E146" s="142">
        <v>0</v>
      </c>
      <c r="F146" s="142">
        <v>0</v>
      </c>
      <c r="G146" s="142">
        <v>0</v>
      </c>
      <c r="H146" s="142">
        <v>0</v>
      </c>
      <c r="I146" s="142">
        <v>0</v>
      </c>
      <c r="J146" s="7">
        <v>50</v>
      </c>
      <c r="K146" s="7">
        <v>1.6</v>
      </c>
      <c r="L146" s="7"/>
      <c r="M146" s="7" t="s">
        <v>34</v>
      </c>
      <c r="N146" s="10" t="s">
        <v>63</v>
      </c>
      <c r="O146" s="78">
        <v>50</v>
      </c>
    </row>
    <row r="147" spans="1:15" x14ac:dyDescent="0.2">
      <c r="A147" s="7" t="s">
        <v>468</v>
      </c>
      <c r="B147" s="7" t="s">
        <v>467</v>
      </c>
      <c r="C147" s="142">
        <v>5.2492999999999999</v>
      </c>
      <c r="D147" s="142">
        <v>0</v>
      </c>
      <c r="E147" s="142">
        <v>0</v>
      </c>
      <c r="F147" s="142">
        <v>0</v>
      </c>
      <c r="G147" s="142">
        <v>0</v>
      </c>
      <c r="H147" s="142">
        <v>0</v>
      </c>
      <c r="I147" s="142">
        <v>0</v>
      </c>
      <c r="J147" s="7">
        <v>70</v>
      </c>
      <c r="K147" s="7">
        <v>4</v>
      </c>
      <c r="L147" s="168" t="s">
        <v>173</v>
      </c>
      <c r="M147" s="7" t="s">
        <v>6</v>
      </c>
      <c r="N147" s="10" t="s">
        <v>63</v>
      </c>
      <c r="O147" s="78">
        <v>50</v>
      </c>
    </row>
    <row r="148" spans="1:15" x14ac:dyDescent="0.2">
      <c r="A148" s="7" t="s">
        <v>468</v>
      </c>
      <c r="B148" s="7" t="s">
        <v>467</v>
      </c>
      <c r="C148" s="142">
        <v>3.7206000000000001</v>
      </c>
      <c r="D148" s="142">
        <v>3.4611000000000001</v>
      </c>
      <c r="E148" s="142">
        <v>5.4333</v>
      </c>
      <c r="F148" s="142">
        <v>5.0309999999999997</v>
      </c>
      <c r="G148" s="142">
        <v>4.8203999999999994</v>
      </c>
      <c r="H148" s="142">
        <v>4.8203999999999994</v>
      </c>
      <c r="I148" s="142">
        <v>4.8203999999999994</v>
      </c>
      <c r="J148" s="7">
        <v>30</v>
      </c>
      <c r="K148" s="7">
        <v>4</v>
      </c>
      <c r="L148" s="168" t="s">
        <v>173</v>
      </c>
      <c r="M148" s="7" t="s">
        <v>35</v>
      </c>
      <c r="N148" s="10" t="s">
        <v>63</v>
      </c>
      <c r="O148" s="78">
        <v>30</v>
      </c>
    </row>
    <row r="149" spans="1:15" ht="15" x14ac:dyDescent="0.25">
      <c r="A149" s="92" t="s">
        <v>469</v>
      </c>
      <c r="B149" s="176" t="s">
        <v>36</v>
      </c>
      <c r="C149" s="178"/>
      <c r="D149" s="178"/>
      <c r="E149" s="178"/>
      <c r="F149" s="178"/>
      <c r="G149" s="178"/>
      <c r="H149" s="178"/>
      <c r="I149" s="178"/>
      <c r="J149" s="92"/>
      <c r="K149" s="92"/>
      <c r="L149" s="23"/>
      <c r="M149" s="92"/>
      <c r="N149" s="92"/>
      <c r="O149" s="179"/>
    </row>
    <row r="150" spans="1:15" x14ac:dyDescent="0.2">
      <c r="A150" s="169">
        <v>14</v>
      </c>
      <c r="B150" s="7" t="s">
        <v>37</v>
      </c>
      <c r="C150" s="142">
        <v>8.7317499999999999</v>
      </c>
      <c r="D150" s="142">
        <v>16.965499999999999</v>
      </c>
      <c r="E150" s="142">
        <v>13.96</v>
      </c>
      <c r="F150" s="142">
        <v>13.422000000000001</v>
      </c>
      <c r="G150" s="142">
        <v>11.022500000000001</v>
      </c>
      <c r="H150" s="142">
        <v>10.3725</v>
      </c>
      <c r="I150" s="142">
        <v>9.1225000000000005</v>
      </c>
      <c r="J150" s="7">
        <v>25</v>
      </c>
      <c r="K150" s="7">
        <v>5</v>
      </c>
      <c r="L150" s="7" t="s">
        <v>245</v>
      </c>
      <c r="M150" s="7" t="s">
        <v>22</v>
      </c>
      <c r="N150" s="10" t="s">
        <v>63</v>
      </c>
      <c r="O150" s="78">
        <v>25</v>
      </c>
    </row>
    <row r="151" spans="1:15" x14ac:dyDescent="0.2">
      <c r="A151" s="169">
        <v>15</v>
      </c>
      <c r="B151" s="7" t="s">
        <v>38</v>
      </c>
      <c r="C151" s="142">
        <v>0.13425000000000001</v>
      </c>
      <c r="D151" s="142">
        <v>-7.7499999999999999E-2</v>
      </c>
      <c r="E151" s="142">
        <v>0</v>
      </c>
      <c r="F151" s="142">
        <v>0</v>
      </c>
      <c r="G151" s="142">
        <v>0</v>
      </c>
      <c r="H151" s="142">
        <v>0</v>
      </c>
      <c r="I151" s="142">
        <v>0</v>
      </c>
      <c r="J151" s="7">
        <v>25</v>
      </c>
      <c r="K151" s="7">
        <v>5</v>
      </c>
      <c r="L151" s="7" t="s">
        <v>245</v>
      </c>
      <c r="M151" s="7" t="s">
        <v>16</v>
      </c>
      <c r="N151" s="10" t="s">
        <v>63</v>
      </c>
      <c r="O151" s="78">
        <v>25</v>
      </c>
    </row>
    <row r="152" spans="1:15" x14ac:dyDescent="0.2">
      <c r="A152" s="169">
        <v>15</v>
      </c>
      <c r="B152" s="7" t="s">
        <v>39</v>
      </c>
      <c r="C152" s="142">
        <v>3.8679999999999999</v>
      </c>
      <c r="D152" s="142">
        <v>2.048</v>
      </c>
      <c r="E152" s="142">
        <v>0.59424999999999994</v>
      </c>
      <c r="F152" s="142">
        <v>0.59199999999999997</v>
      </c>
      <c r="G152" s="142">
        <v>0.59199999999999997</v>
      </c>
      <c r="H152" s="142">
        <v>0.59199999999999997</v>
      </c>
      <c r="I152" s="142">
        <v>0.59199999999999997</v>
      </c>
      <c r="J152" s="7">
        <v>25</v>
      </c>
      <c r="K152" s="7">
        <v>5</v>
      </c>
      <c r="L152" s="7" t="s">
        <v>245</v>
      </c>
      <c r="M152" s="7" t="s">
        <v>40</v>
      </c>
      <c r="N152" s="10" t="s">
        <v>63</v>
      </c>
      <c r="O152" s="78">
        <v>25</v>
      </c>
    </row>
    <row r="153" spans="1:15" x14ac:dyDescent="0.2">
      <c r="A153" s="169">
        <v>14</v>
      </c>
      <c r="B153" s="7" t="s">
        <v>41</v>
      </c>
      <c r="C153" s="142">
        <v>0</v>
      </c>
      <c r="D153" s="142">
        <v>16.145</v>
      </c>
      <c r="E153" s="142">
        <v>8.0399999999999991</v>
      </c>
      <c r="F153" s="142">
        <v>6.3620000000000001</v>
      </c>
      <c r="G153" s="142">
        <v>8.08</v>
      </c>
      <c r="H153" s="142">
        <v>8.08</v>
      </c>
      <c r="I153" s="142">
        <v>8.08</v>
      </c>
      <c r="J153" s="7">
        <v>100</v>
      </c>
      <c r="K153" s="7">
        <v>5</v>
      </c>
      <c r="L153" s="7" t="s">
        <v>245</v>
      </c>
      <c r="M153" s="7" t="s">
        <v>16</v>
      </c>
      <c r="N153" s="10" t="s">
        <v>63</v>
      </c>
      <c r="O153" s="78">
        <v>50</v>
      </c>
    </row>
    <row r="154" spans="1:15" x14ac:dyDescent="0.2">
      <c r="A154" s="169">
        <v>14</v>
      </c>
      <c r="B154" s="7" t="s">
        <v>425</v>
      </c>
      <c r="C154" s="142">
        <v>7.25</v>
      </c>
      <c r="D154" s="142">
        <v>7.25</v>
      </c>
      <c r="E154" s="142">
        <v>8.1110000000000007</v>
      </c>
      <c r="F154" s="142">
        <v>8.1110000000000007</v>
      </c>
      <c r="G154" s="142">
        <v>8.1110000000000007</v>
      </c>
      <c r="H154" s="142">
        <v>8.1110000000000007</v>
      </c>
      <c r="I154" s="142">
        <v>8.1110000000000007</v>
      </c>
      <c r="J154" s="7">
        <v>100</v>
      </c>
      <c r="K154" s="7">
        <v>5</v>
      </c>
      <c r="L154" s="7" t="s">
        <v>245</v>
      </c>
      <c r="M154" s="7" t="s">
        <v>42</v>
      </c>
      <c r="N154" s="7" t="s">
        <v>62</v>
      </c>
      <c r="O154" s="78">
        <v>25</v>
      </c>
    </row>
    <row r="155" spans="1:15" x14ac:dyDescent="0.2">
      <c r="A155" s="169">
        <v>14</v>
      </c>
      <c r="B155" s="7" t="s">
        <v>470</v>
      </c>
      <c r="C155" s="142">
        <v>0</v>
      </c>
      <c r="D155" s="142">
        <v>17</v>
      </c>
      <c r="E155" s="142">
        <v>22</v>
      </c>
      <c r="F155" s="142">
        <v>24.5</v>
      </c>
      <c r="G155" s="142">
        <v>24.5</v>
      </c>
      <c r="H155" s="142">
        <v>24.5</v>
      </c>
      <c r="I155" s="142">
        <v>24.5</v>
      </c>
      <c r="J155" s="7">
        <v>50</v>
      </c>
      <c r="K155" s="7">
        <v>5</v>
      </c>
      <c r="L155" s="7" t="s">
        <v>245</v>
      </c>
      <c r="M155" s="7" t="s">
        <v>63</v>
      </c>
      <c r="N155" s="7" t="s">
        <v>63</v>
      </c>
      <c r="O155" s="78">
        <v>50</v>
      </c>
    </row>
    <row r="156" spans="1:15" x14ac:dyDescent="0.2">
      <c r="A156" s="169">
        <v>14</v>
      </c>
      <c r="B156" s="7" t="s">
        <v>43</v>
      </c>
      <c r="C156" s="142">
        <v>3.516</v>
      </c>
      <c r="D156" s="142">
        <v>5.8010000000000002</v>
      </c>
      <c r="E156" s="142">
        <v>10.667999999999999</v>
      </c>
      <c r="F156" s="142">
        <v>10.667999999999999</v>
      </c>
      <c r="G156" s="142">
        <v>8.6679999999999993</v>
      </c>
      <c r="H156" s="142">
        <v>6.6680000000000001</v>
      </c>
      <c r="I156" s="142">
        <v>6.6680000000000001</v>
      </c>
      <c r="J156" s="7">
        <v>100</v>
      </c>
      <c r="K156" s="7">
        <v>5</v>
      </c>
      <c r="L156" s="7" t="s">
        <v>245</v>
      </c>
      <c r="M156" s="7" t="s">
        <v>24</v>
      </c>
      <c r="N156" s="7" t="s">
        <v>62</v>
      </c>
      <c r="O156" s="78">
        <v>50</v>
      </c>
    </row>
    <row r="157" spans="1:15" x14ac:dyDescent="0.2">
      <c r="A157" s="169">
        <v>14</v>
      </c>
      <c r="B157" s="7" t="s">
        <v>44</v>
      </c>
      <c r="C157" s="142">
        <v>0.72</v>
      </c>
      <c r="D157" s="142">
        <v>0</v>
      </c>
      <c r="E157" s="142">
        <v>0</v>
      </c>
      <c r="F157" s="142">
        <v>0</v>
      </c>
      <c r="G157" s="142">
        <v>0</v>
      </c>
      <c r="H157" s="142">
        <v>0</v>
      </c>
      <c r="I157" s="142">
        <v>0</v>
      </c>
      <c r="J157" s="7">
        <v>20</v>
      </c>
      <c r="K157" s="7">
        <v>5</v>
      </c>
      <c r="L157" s="7" t="s">
        <v>245</v>
      </c>
      <c r="M157" s="7" t="s">
        <v>30</v>
      </c>
      <c r="N157" s="10" t="s">
        <v>63</v>
      </c>
      <c r="O157" s="78">
        <v>20</v>
      </c>
    </row>
    <row r="158" spans="1:15" x14ac:dyDescent="0.2">
      <c r="A158" s="169">
        <v>14</v>
      </c>
      <c r="B158" s="7" t="s">
        <v>44</v>
      </c>
      <c r="C158" s="142">
        <v>1.99275</v>
      </c>
      <c r="D158" s="142">
        <v>1.0500000000000001E-2</v>
      </c>
      <c r="E158" s="142">
        <v>8.2500000000000004E-3</v>
      </c>
      <c r="F158" s="142">
        <v>2.775E-2</v>
      </c>
      <c r="G158" s="142">
        <v>2.775E-2</v>
      </c>
      <c r="H158" s="142">
        <v>2.775E-2</v>
      </c>
      <c r="I158" s="142">
        <v>2.775E-2</v>
      </c>
      <c r="J158" s="7">
        <v>75</v>
      </c>
      <c r="K158" s="7">
        <v>5</v>
      </c>
      <c r="L158" s="7" t="s">
        <v>245</v>
      </c>
      <c r="M158" s="7" t="s">
        <v>45</v>
      </c>
      <c r="N158" s="7" t="s">
        <v>62</v>
      </c>
      <c r="O158" s="78">
        <v>25</v>
      </c>
    </row>
    <row r="159" spans="1:15" x14ac:dyDescent="0.2">
      <c r="A159" s="169">
        <v>14</v>
      </c>
      <c r="B159" s="7" t="s">
        <v>46</v>
      </c>
      <c r="C159" s="142">
        <v>6.0023999999999997</v>
      </c>
      <c r="D159" s="142">
        <v>8.1227999999999998</v>
      </c>
      <c r="E159" s="142">
        <v>7.2203999999999997</v>
      </c>
      <c r="F159" s="142">
        <v>2.4066000000000001</v>
      </c>
      <c r="G159" s="142">
        <v>0</v>
      </c>
      <c r="H159" s="142">
        <v>0</v>
      </c>
      <c r="I159" s="142">
        <v>0</v>
      </c>
      <c r="J159" s="7">
        <v>60</v>
      </c>
      <c r="K159" s="7">
        <v>5</v>
      </c>
      <c r="L159" s="7" t="s">
        <v>245</v>
      </c>
      <c r="M159" s="7" t="s">
        <v>30</v>
      </c>
      <c r="N159" s="10" t="s">
        <v>63</v>
      </c>
      <c r="O159" s="78">
        <v>50</v>
      </c>
    </row>
    <row r="160" spans="1:15" x14ac:dyDescent="0.2">
      <c r="A160" s="169">
        <v>14</v>
      </c>
      <c r="B160" s="7" t="s">
        <v>47</v>
      </c>
      <c r="C160" s="142">
        <v>32.902999999999999</v>
      </c>
      <c r="D160" s="142">
        <v>25.658000000000001</v>
      </c>
      <c r="E160" s="142">
        <v>23.146999999999998</v>
      </c>
      <c r="F160" s="142">
        <v>22.757999999999999</v>
      </c>
      <c r="G160" s="142">
        <v>22.658000000000001</v>
      </c>
      <c r="H160" s="142">
        <v>22.658000000000001</v>
      </c>
      <c r="I160" s="142">
        <v>22.658000000000001</v>
      </c>
      <c r="J160" s="7">
        <v>100</v>
      </c>
      <c r="K160" s="7">
        <v>5</v>
      </c>
      <c r="L160" s="7" t="s">
        <v>245</v>
      </c>
      <c r="M160" s="7" t="s">
        <v>48</v>
      </c>
      <c r="N160" s="7" t="s">
        <v>62</v>
      </c>
      <c r="O160" s="78">
        <v>100</v>
      </c>
    </row>
    <row r="161" spans="1:15" ht="15" x14ac:dyDescent="0.25">
      <c r="A161" s="92" t="s">
        <v>99</v>
      </c>
      <c r="B161" s="176" t="s">
        <v>49</v>
      </c>
      <c r="C161" s="178"/>
      <c r="D161" s="178"/>
      <c r="E161" s="178"/>
      <c r="F161" s="178"/>
      <c r="G161" s="178"/>
      <c r="H161" s="178"/>
      <c r="I161" s="178"/>
      <c r="J161" s="92"/>
      <c r="K161" s="92"/>
      <c r="L161" s="23"/>
      <c r="M161" s="92"/>
      <c r="N161" s="92"/>
      <c r="O161" s="179"/>
    </row>
    <row r="162" spans="1:15" x14ac:dyDescent="0.2">
      <c r="A162" s="171">
        <v>16</v>
      </c>
      <c r="B162" s="9" t="s">
        <v>50</v>
      </c>
      <c r="C162" s="139">
        <v>20.661000000000001</v>
      </c>
      <c r="D162" s="139">
        <v>20.956</v>
      </c>
      <c r="E162" s="139">
        <v>20.472000000000001</v>
      </c>
      <c r="F162" s="139">
        <v>18.773</v>
      </c>
      <c r="G162" s="139">
        <v>18.773</v>
      </c>
      <c r="H162" s="139">
        <v>18.773</v>
      </c>
      <c r="I162" s="139">
        <v>18.773</v>
      </c>
      <c r="J162" s="10">
        <v>100</v>
      </c>
      <c r="K162" s="10">
        <v>13</v>
      </c>
      <c r="L162" s="10" t="s">
        <v>242</v>
      </c>
      <c r="M162" s="10" t="s">
        <v>51</v>
      </c>
      <c r="N162" s="10" t="s">
        <v>62</v>
      </c>
      <c r="O162" s="78">
        <v>50</v>
      </c>
    </row>
    <row r="163" spans="1:15" x14ac:dyDescent="0.2">
      <c r="A163" s="171">
        <v>16</v>
      </c>
      <c r="B163" s="9" t="s">
        <v>243</v>
      </c>
      <c r="C163" s="69">
        <v>56.68</v>
      </c>
      <c r="D163" s="69">
        <v>54.86</v>
      </c>
      <c r="E163" s="69">
        <v>55.174999999999997</v>
      </c>
      <c r="F163" s="69">
        <v>48.811</v>
      </c>
      <c r="G163" s="69">
        <v>46.499000000000002</v>
      </c>
      <c r="H163" s="69">
        <v>46.499000000000002</v>
      </c>
      <c r="I163" s="69">
        <v>46.499000000000002</v>
      </c>
      <c r="J163" s="10">
        <v>100</v>
      </c>
      <c r="K163" s="10">
        <v>13</v>
      </c>
      <c r="L163" s="10" t="s">
        <v>244</v>
      </c>
      <c r="M163" s="10" t="s">
        <v>51</v>
      </c>
      <c r="N163" s="10" t="s">
        <v>62</v>
      </c>
      <c r="O163" s="78">
        <v>50</v>
      </c>
    </row>
    <row r="164" spans="1:15" x14ac:dyDescent="0.2">
      <c r="A164" s="171">
        <v>16</v>
      </c>
      <c r="B164" s="9" t="s">
        <v>52</v>
      </c>
      <c r="C164" s="69">
        <v>39.954000000000001</v>
      </c>
      <c r="D164" s="69">
        <v>26.702000000000002</v>
      </c>
      <c r="E164" s="69">
        <v>22.132999999999999</v>
      </c>
      <c r="F164" s="69">
        <v>22.01</v>
      </c>
      <c r="G164" s="69">
        <v>21.977</v>
      </c>
      <c r="H164" s="69">
        <v>22.001000000000001</v>
      </c>
      <c r="I164" s="69">
        <v>22.001000000000001</v>
      </c>
      <c r="J164" s="10">
        <v>100</v>
      </c>
      <c r="K164" s="10">
        <v>8</v>
      </c>
      <c r="L164" s="10" t="s">
        <v>244</v>
      </c>
      <c r="M164" s="10" t="s">
        <v>51</v>
      </c>
      <c r="N164" s="10" t="s">
        <v>62</v>
      </c>
      <c r="O164" s="78">
        <v>50</v>
      </c>
    </row>
    <row r="165" spans="1:15" x14ac:dyDescent="0.2">
      <c r="A165" s="171">
        <v>16</v>
      </c>
      <c r="B165" s="9" t="s">
        <v>53</v>
      </c>
      <c r="C165" s="69">
        <v>51.978999999999999</v>
      </c>
      <c r="D165" s="69">
        <v>46.652999999999999</v>
      </c>
      <c r="E165" s="69">
        <v>47.462000000000003</v>
      </c>
      <c r="F165" s="69">
        <v>45.460999999999999</v>
      </c>
      <c r="G165" s="69">
        <v>45.695999999999998</v>
      </c>
      <c r="H165" s="69">
        <v>45.191000000000003</v>
      </c>
      <c r="I165" s="69">
        <v>45.191000000000003</v>
      </c>
      <c r="J165" s="10">
        <v>100</v>
      </c>
      <c r="K165" s="10">
        <v>8</v>
      </c>
      <c r="L165" s="10" t="s">
        <v>244</v>
      </c>
      <c r="M165" s="10" t="s">
        <v>51</v>
      </c>
      <c r="N165" s="10" t="s">
        <v>62</v>
      </c>
      <c r="O165" s="78">
        <v>100</v>
      </c>
    </row>
    <row r="166" spans="1:15" s="3" customFormat="1" ht="15" x14ac:dyDescent="0.25">
      <c r="A166" s="171">
        <v>16</v>
      </c>
      <c r="B166" s="10" t="s">
        <v>54</v>
      </c>
      <c r="C166" s="69">
        <v>0</v>
      </c>
      <c r="D166" s="69">
        <v>1.88</v>
      </c>
      <c r="E166" s="69">
        <v>0</v>
      </c>
      <c r="F166" s="69">
        <v>0</v>
      </c>
      <c r="G166" s="69">
        <v>1.885</v>
      </c>
      <c r="H166" s="69">
        <v>1.885</v>
      </c>
      <c r="I166" s="69">
        <v>1.885</v>
      </c>
      <c r="J166" s="10">
        <v>100</v>
      </c>
      <c r="K166" s="10">
        <v>8</v>
      </c>
      <c r="L166" s="10" t="s">
        <v>244</v>
      </c>
      <c r="M166" s="10" t="s">
        <v>55</v>
      </c>
      <c r="N166" s="10" t="s">
        <v>63</v>
      </c>
      <c r="O166" s="78">
        <v>50</v>
      </c>
    </row>
    <row r="167" spans="1:15" x14ac:dyDescent="0.2">
      <c r="A167" s="171">
        <v>16</v>
      </c>
      <c r="B167" s="10" t="s">
        <v>393</v>
      </c>
      <c r="C167" s="69">
        <v>0.3</v>
      </c>
      <c r="D167" s="69">
        <v>0.3</v>
      </c>
      <c r="E167" s="69">
        <v>0.3</v>
      </c>
      <c r="F167" s="69">
        <v>0.3</v>
      </c>
      <c r="G167" s="69">
        <v>0.3</v>
      </c>
      <c r="H167" s="69">
        <v>0.3</v>
      </c>
      <c r="I167" s="69">
        <v>0.3</v>
      </c>
      <c r="J167" s="10">
        <v>100</v>
      </c>
      <c r="K167" s="10">
        <v>8</v>
      </c>
      <c r="L167" s="10" t="s">
        <v>311</v>
      </c>
      <c r="M167" s="10" t="s">
        <v>394</v>
      </c>
      <c r="N167" s="10" t="s">
        <v>63</v>
      </c>
      <c r="O167" s="78">
        <v>100</v>
      </c>
    </row>
    <row r="168" spans="1:15" x14ac:dyDescent="0.2">
      <c r="A168" s="171">
        <v>16</v>
      </c>
      <c r="B168" s="10" t="s">
        <v>473</v>
      </c>
      <c r="C168" s="69">
        <v>18.349</v>
      </c>
      <c r="D168" s="69">
        <v>18.387</v>
      </c>
      <c r="E168" s="69">
        <v>10.657999999999999</v>
      </c>
      <c r="F168" s="69">
        <v>9.9550000000000001</v>
      </c>
      <c r="G168" s="69">
        <v>9.7080000000000002</v>
      </c>
      <c r="H168" s="69">
        <v>10.083</v>
      </c>
      <c r="I168" s="69">
        <v>10.007999999999999</v>
      </c>
      <c r="J168" s="10">
        <v>100</v>
      </c>
      <c r="K168" s="11">
        <v>8</v>
      </c>
      <c r="L168" s="10" t="s">
        <v>244</v>
      </c>
      <c r="M168" s="10" t="s">
        <v>16</v>
      </c>
      <c r="N168" s="10" t="s">
        <v>63</v>
      </c>
      <c r="O168" s="78">
        <v>30</v>
      </c>
    </row>
    <row r="169" spans="1:15" x14ac:dyDescent="0.2">
      <c r="A169" s="171">
        <v>16</v>
      </c>
      <c r="B169" s="10" t="s">
        <v>471</v>
      </c>
      <c r="C169" s="69">
        <v>0.2</v>
      </c>
      <c r="D169" s="69">
        <v>0.17100000000000001</v>
      </c>
      <c r="E169" s="69">
        <v>0.248</v>
      </c>
      <c r="F169" s="69">
        <v>0.247</v>
      </c>
      <c r="G169" s="69">
        <v>0.25800000000000001</v>
      </c>
      <c r="H169" s="69">
        <v>0.25800000000000001</v>
      </c>
      <c r="I169" s="69">
        <v>0.25800000000000001</v>
      </c>
      <c r="J169" s="10">
        <v>100</v>
      </c>
      <c r="K169" s="11">
        <v>8</v>
      </c>
      <c r="L169" s="10" t="s">
        <v>311</v>
      </c>
      <c r="M169" s="10" t="s">
        <v>10</v>
      </c>
      <c r="N169" s="10" t="s">
        <v>63</v>
      </c>
      <c r="O169" s="78">
        <v>100</v>
      </c>
    </row>
    <row r="170" spans="1:15" x14ac:dyDescent="0.2">
      <c r="A170" s="171">
        <v>16</v>
      </c>
      <c r="B170" s="10" t="s">
        <v>472</v>
      </c>
      <c r="C170" s="69">
        <v>0.61699999999999999</v>
      </c>
      <c r="D170" s="69">
        <v>0.74099999999999999</v>
      </c>
      <c r="E170" s="69">
        <v>1.629</v>
      </c>
      <c r="F170" s="69">
        <v>2.2000000000000002</v>
      </c>
      <c r="G170" s="69">
        <v>2.1</v>
      </c>
      <c r="H170" s="69">
        <v>2</v>
      </c>
      <c r="I170" s="69">
        <v>2</v>
      </c>
      <c r="J170" s="10">
        <v>100</v>
      </c>
      <c r="K170" s="11">
        <v>8</v>
      </c>
      <c r="L170" s="10" t="s">
        <v>311</v>
      </c>
      <c r="M170" s="10" t="s">
        <v>10</v>
      </c>
      <c r="N170" s="10" t="s">
        <v>63</v>
      </c>
      <c r="O170" s="78">
        <v>100</v>
      </c>
    </row>
    <row r="171" spans="1:15" ht="15" x14ac:dyDescent="0.25">
      <c r="A171" s="172" t="s">
        <v>351</v>
      </c>
      <c r="B171" s="103" t="s">
        <v>350</v>
      </c>
      <c r="C171" s="104"/>
      <c r="D171" s="104"/>
      <c r="E171" s="104"/>
      <c r="F171" s="104"/>
      <c r="G171" s="104"/>
      <c r="H171" s="104"/>
      <c r="I171" s="104"/>
      <c r="J171" s="103"/>
      <c r="K171" s="105"/>
      <c r="L171" s="128"/>
      <c r="M171" s="103"/>
      <c r="N171" s="103"/>
      <c r="O171" s="179"/>
    </row>
    <row r="172" spans="1:15" x14ac:dyDescent="0.2">
      <c r="A172" s="171" t="s">
        <v>385</v>
      </c>
      <c r="B172" s="135" t="s">
        <v>386</v>
      </c>
      <c r="C172" s="138">
        <v>13.338299999999998</v>
      </c>
      <c r="D172" s="138">
        <v>16.329599999999999</v>
      </c>
      <c r="E172" s="138">
        <v>8.8770000000000007</v>
      </c>
      <c r="F172" s="138">
        <v>9.3737999999999992</v>
      </c>
      <c r="G172" s="138">
        <v>9.4970999999999997</v>
      </c>
      <c r="H172" s="138">
        <v>7.8353999999999999</v>
      </c>
      <c r="I172" s="138">
        <v>7.7882999999999996</v>
      </c>
      <c r="J172" s="137">
        <v>30</v>
      </c>
      <c r="K172" s="136">
        <v>5</v>
      </c>
      <c r="L172" s="7" t="s">
        <v>245</v>
      </c>
      <c r="M172" s="112" t="s">
        <v>16</v>
      </c>
      <c r="N172" s="7" t="s">
        <v>63</v>
      </c>
      <c r="O172" s="136">
        <v>30</v>
      </c>
    </row>
    <row r="173" spans="1:15" x14ac:dyDescent="0.2">
      <c r="A173" s="171" t="s">
        <v>385</v>
      </c>
      <c r="B173" s="93" t="s">
        <v>352</v>
      </c>
      <c r="C173" s="138">
        <v>4.5748499999999996</v>
      </c>
      <c r="D173" s="138">
        <v>3.6301999999999999</v>
      </c>
      <c r="E173" s="138">
        <v>2.1791</v>
      </c>
      <c r="F173" s="138">
        <v>0</v>
      </c>
      <c r="G173" s="138">
        <v>0</v>
      </c>
      <c r="H173" s="138">
        <v>0</v>
      </c>
      <c r="I173" s="138">
        <v>0</v>
      </c>
      <c r="J173" s="137">
        <v>35</v>
      </c>
      <c r="K173" s="136">
        <v>6</v>
      </c>
      <c r="L173" s="10" t="s">
        <v>246</v>
      </c>
      <c r="M173" s="112" t="s">
        <v>35</v>
      </c>
      <c r="N173" s="7" t="s">
        <v>63</v>
      </c>
      <c r="O173" s="136">
        <v>35</v>
      </c>
    </row>
    <row r="174" spans="1:15" ht="15" x14ac:dyDescent="0.25">
      <c r="A174" s="172" t="s">
        <v>475</v>
      </c>
      <c r="B174" s="103"/>
      <c r="C174" s="104"/>
      <c r="D174" s="104"/>
      <c r="E174" s="104"/>
      <c r="F174" s="104"/>
      <c r="G174" s="104"/>
      <c r="H174" s="104"/>
      <c r="I174" s="104"/>
      <c r="J174" s="103"/>
      <c r="K174" s="105"/>
      <c r="L174" s="128"/>
      <c r="M174" s="103"/>
      <c r="N174" s="103"/>
      <c r="O174" s="179"/>
    </row>
    <row r="175" spans="1:15" ht="25.5" x14ac:dyDescent="0.2">
      <c r="A175" s="171">
        <v>19</v>
      </c>
      <c r="B175" s="135" t="s">
        <v>533</v>
      </c>
      <c r="C175" s="138">
        <v>0</v>
      </c>
      <c r="D175" s="138">
        <v>50</v>
      </c>
      <c r="E175" s="138">
        <v>50</v>
      </c>
      <c r="F175" s="138">
        <v>0</v>
      </c>
      <c r="G175" s="138">
        <v>0</v>
      </c>
      <c r="H175" s="138">
        <v>0</v>
      </c>
      <c r="I175" s="138">
        <v>0</v>
      </c>
      <c r="J175" s="137">
        <v>100</v>
      </c>
      <c r="K175" s="136" t="s">
        <v>22</v>
      </c>
      <c r="L175" s="7"/>
      <c r="M175" s="112" t="s">
        <v>476</v>
      </c>
      <c r="N175" s="7" t="s">
        <v>477</v>
      </c>
      <c r="O175" s="136">
        <v>100</v>
      </c>
    </row>
    <row r="176" spans="1:15" ht="15" x14ac:dyDescent="0.25">
      <c r="A176" s="92" t="s">
        <v>100</v>
      </c>
      <c r="B176" s="176" t="s">
        <v>56</v>
      </c>
      <c r="C176" s="178"/>
      <c r="D176" s="178"/>
      <c r="E176" s="178"/>
      <c r="F176" s="178"/>
      <c r="G176" s="178"/>
      <c r="H176" s="178"/>
      <c r="I176" s="178"/>
      <c r="J176" s="92"/>
      <c r="K176" s="92"/>
      <c r="L176" s="23"/>
      <c r="M176" s="92"/>
      <c r="N176" s="92"/>
      <c r="O176" s="179"/>
    </row>
    <row r="177" spans="1:22" x14ac:dyDescent="0.2">
      <c r="A177" s="169">
        <v>40</v>
      </c>
      <c r="B177" s="7" t="s">
        <v>57</v>
      </c>
      <c r="C177" s="142">
        <v>3.7130000000000001</v>
      </c>
      <c r="D177" s="142">
        <v>3.85</v>
      </c>
      <c r="E177" s="142">
        <v>3.6857500000000001</v>
      </c>
      <c r="F177" s="142">
        <v>3.6080000000000001</v>
      </c>
      <c r="G177" s="142">
        <v>3.2109999999999999</v>
      </c>
      <c r="H177" s="142">
        <v>3.2109999999999999</v>
      </c>
      <c r="I177" s="142">
        <v>3.2109999999999999</v>
      </c>
      <c r="J177" s="7">
        <v>25</v>
      </c>
      <c r="K177" s="7">
        <v>11</v>
      </c>
      <c r="L177" s="168" t="s">
        <v>95</v>
      </c>
      <c r="M177" s="7" t="s">
        <v>12</v>
      </c>
      <c r="N177" s="10" t="s">
        <v>62</v>
      </c>
      <c r="O177" s="78">
        <v>0</v>
      </c>
    </row>
    <row r="178" spans="1:22" s="3" customFormat="1" ht="15" x14ac:dyDescent="0.25">
      <c r="A178" s="92"/>
      <c r="B178" s="3" t="s">
        <v>58</v>
      </c>
      <c r="C178" s="12">
        <f>SUM(C110:C177)</f>
        <v>908.58179999999982</v>
      </c>
      <c r="D178" s="12">
        <f t="shared" ref="D178:I178" si="6">SUM(D110:D177)</f>
        <v>970.76125000000025</v>
      </c>
      <c r="E178" s="12">
        <f t="shared" si="6"/>
        <v>875.51059999999995</v>
      </c>
      <c r="F178" s="12">
        <f t="shared" si="6"/>
        <v>800.82684999999992</v>
      </c>
      <c r="G178" s="12">
        <f t="shared" si="6"/>
        <v>785.26144999999997</v>
      </c>
      <c r="H178" s="12">
        <f t="shared" si="6"/>
        <v>774.49644999999987</v>
      </c>
      <c r="I178" s="12">
        <f t="shared" si="6"/>
        <v>793.34154999999987</v>
      </c>
      <c r="L178" s="1"/>
      <c r="O178" s="77"/>
    </row>
    <row r="179" spans="1:22" x14ac:dyDescent="0.2">
      <c r="C179" s="66"/>
      <c r="D179" s="66"/>
      <c r="E179" s="66"/>
      <c r="F179" s="66"/>
      <c r="G179" s="66"/>
      <c r="H179" s="66"/>
      <c r="I179" s="66"/>
      <c r="O179" s="13"/>
    </row>
    <row r="180" spans="1:22" ht="15" x14ac:dyDescent="0.25">
      <c r="A180" s="32"/>
      <c r="B180" s="29" t="s">
        <v>125</v>
      </c>
      <c r="C180" s="67"/>
      <c r="D180" s="67"/>
      <c r="E180" s="67"/>
      <c r="F180" s="67"/>
      <c r="G180" s="67"/>
      <c r="H180" s="67"/>
      <c r="I180" s="67"/>
      <c r="J180" s="29"/>
      <c r="K180" s="31"/>
      <c r="L180" s="129"/>
      <c r="M180" s="29"/>
      <c r="N180" s="29"/>
      <c r="O180" s="29"/>
    </row>
    <row r="181" spans="1:22" s="3" customFormat="1" ht="15" x14ac:dyDescent="0.25">
      <c r="A181" s="7">
        <v>98</v>
      </c>
      <c r="B181" s="4" t="s">
        <v>170</v>
      </c>
      <c r="C181" s="66">
        <v>0.6</v>
      </c>
      <c r="D181" s="66">
        <v>0.8</v>
      </c>
      <c r="E181" s="66">
        <v>1.1000000000000001</v>
      </c>
      <c r="F181" s="66">
        <v>0.9</v>
      </c>
      <c r="G181" s="66">
        <v>0.9</v>
      </c>
      <c r="H181" s="66">
        <v>0.9</v>
      </c>
      <c r="I181" s="66">
        <v>0.9</v>
      </c>
      <c r="J181" s="4">
        <v>100</v>
      </c>
      <c r="K181" s="4">
        <v>11</v>
      </c>
      <c r="L181" s="133" t="s">
        <v>95</v>
      </c>
      <c r="M181" s="4" t="s">
        <v>63</v>
      </c>
      <c r="N181" s="4" t="s">
        <v>63</v>
      </c>
      <c r="O181" s="13">
        <v>0</v>
      </c>
    </row>
    <row r="182" spans="1:22" ht="15" x14ac:dyDescent="0.25">
      <c r="A182" s="92"/>
      <c r="B182" s="3" t="s">
        <v>128</v>
      </c>
      <c r="C182" s="12">
        <f>C181</f>
        <v>0.6</v>
      </c>
      <c r="D182" s="12">
        <f t="shared" ref="D182:I182" si="7">D181</f>
        <v>0.8</v>
      </c>
      <c r="E182" s="12">
        <f t="shared" si="7"/>
        <v>1.1000000000000001</v>
      </c>
      <c r="F182" s="12">
        <f t="shared" si="7"/>
        <v>0.9</v>
      </c>
      <c r="G182" s="12">
        <f t="shared" si="7"/>
        <v>0.9</v>
      </c>
      <c r="H182" s="12">
        <f t="shared" si="7"/>
        <v>0.9</v>
      </c>
      <c r="I182" s="12">
        <f t="shared" si="7"/>
        <v>0.9</v>
      </c>
      <c r="J182" s="3"/>
      <c r="K182" s="3"/>
      <c r="L182" s="1"/>
      <c r="M182" s="3"/>
      <c r="N182" s="3"/>
      <c r="O182" s="77"/>
    </row>
    <row r="183" spans="1:22" x14ac:dyDescent="0.2">
      <c r="A183" s="7"/>
      <c r="C183" s="66"/>
      <c r="D183" s="66"/>
      <c r="E183" s="66"/>
      <c r="F183" s="66"/>
      <c r="G183" s="66"/>
      <c r="H183" s="66"/>
      <c r="I183" s="66"/>
      <c r="O183" s="13"/>
    </row>
    <row r="184" spans="1:22" ht="15" x14ac:dyDescent="0.25">
      <c r="A184" s="33"/>
      <c r="B184" s="29" t="s">
        <v>126</v>
      </c>
      <c r="C184" s="70"/>
      <c r="D184" s="70"/>
      <c r="E184" s="70"/>
      <c r="F184" s="70"/>
      <c r="G184" s="70"/>
      <c r="H184" s="70"/>
      <c r="I184" s="70"/>
      <c r="J184" s="33"/>
      <c r="K184" s="33"/>
      <c r="L184" s="130"/>
      <c r="M184" s="33"/>
      <c r="N184" s="33"/>
      <c r="O184" s="33"/>
    </row>
    <row r="185" spans="1:22" x14ac:dyDescent="0.2">
      <c r="A185" s="168" t="s">
        <v>378</v>
      </c>
      <c r="B185" s="168" t="s">
        <v>330</v>
      </c>
      <c r="C185" s="173">
        <v>20.7</v>
      </c>
      <c r="D185" s="173">
        <v>22</v>
      </c>
      <c r="E185" s="173">
        <v>22</v>
      </c>
      <c r="F185" s="173">
        <v>22</v>
      </c>
      <c r="G185" s="173">
        <v>22</v>
      </c>
      <c r="H185" s="173">
        <v>22</v>
      </c>
      <c r="I185" s="173">
        <v>22</v>
      </c>
      <c r="J185" s="174">
        <v>3.3333333333333299</v>
      </c>
      <c r="K185" s="180" t="s">
        <v>115</v>
      </c>
      <c r="L185" s="168" t="s">
        <v>154</v>
      </c>
      <c r="M185" s="168" t="s">
        <v>283</v>
      </c>
      <c r="N185" s="168" t="s">
        <v>62</v>
      </c>
      <c r="O185" s="78">
        <v>50</v>
      </c>
    </row>
    <row r="186" spans="1:22" s="3" customFormat="1" ht="15" x14ac:dyDescent="0.25">
      <c r="A186" s="168" t="s">
        <v>250</v>
      </c>
      <c r="B186" s="168" t="s">
        <v>379</v>
      </c>
      <c r="C186" s="173">
        <v>2.7149999999999999</v>
      </c>
      <c r="D186" s="173">
        <v>0.79999999999999982</v>
      </c>
      <c r="E186" s="173">
        <v>0.79999999999999982</v>
      </c>
      <c r="F186" s="173">
        <v>-0.70000000000000018</v>
      </c>
      <c r="G186" s="173">
        <v>-3.5</v>
      </c>
      <c r="H186" s="173">
        <v>0</v>
      </c>
      <c r="I186" s="173">
        <v>0</v>
      </c>
      <c r="J186" s="174">
        <v>0.18066357731949401</v>
      </c>
      <c r="K186" s="180">
        <v>7</v>
      </c>
      <c r="L186" s="168" t="s">
        <v>149</v>
      </c>
      <c r="M186" s="168" t="s">
        <v>10</v>
      </c>
      <c r="N186" s="168" t="s">
        <v>63</v>
      </c>
      <c r="O186" s="78"/>
      <c r="P186" s="6"/>
      <c r="Q186" s="6"/>
      <c r="R186" s="6"/>
      <c r="S186" s="6"/>
      <c r="T186" s="6"/>
      <c r="U186" s="6"/>
      <c r="V186" s="6"/>
    </row>
    <row r="187" spans="1:22" x14ac:dyDescent="0.2">
      <c r="A187" s="168" t="s">
        <v>250</v>
      </c>
      <c r="B187" s="168" t="s">
        <v>380</v>
      </c>
      <c r="C187" s="173">
        <v>15.6</v>
      </c>
      <c r="D187" s="173">
        <v>15.4</v>
      </c>
      <c r="E187" s="173">
        <v>15.4</v>
      </c>
      <c r="F187" s="173">
        <v>15.4</v>
      </c>
      <c r="G187" s="173">
        <v>15.4</v>
      </c>
      <c r="H187" s="173">
        <v>15.4</v>
      </c>
      <c r="I187" s="173">
        <v>15.4</v>
      </c>
      <c r="J187" s="174">
        <v>3.4777738634002699</v>
      </c>
      <c r="K187" s="180" t="s">
        <v>115</v>
      </c>
      <c r="L187" s="168" t="s">
        <v>154</v>
      </c>
      <c r="M187" s="168" t="s">
        <v>45</v>
      </c>
      <c r="N187" s="168" t="s">
        <v>62</v>
      </c>
      <c r="O187" s="78">
        <v>100</v>
      </c>
      <c r="P187" s="5"/>
      <c r="Q187" s="5"/>
      <c r="R187" s="5"/>
      <c r="S187" s="5"/>
      <c r="T187" s="5"/>
      <c r="U187" s="5"/>
      <c r="V187" s="5"/>
    </row>
    <row r="188" spans="1:22" s="3" customFormat="1" ht="15" x14ac:dyDescent="0.25">
      <c r="A188" s="168" t="s">
        <v>262</v>
      </c>
      <c r="B188" s="168" t="s">
        <v>478</v>
      </c>
      <c r="C188" s="173">
        <v>3.6269999999999998</v>
      </c>
      <c r="D188" s="173">
        <v>2.2759999999999998</v>
      </c>
      <c r="E188" s="173">
        <v>2.5049999999999999</v>
      </c>
      <c r="F188" s="173">
        <v>1.9970000000000001</v>
      </c>
      <c r="G188" s="173">
        <v>1.92</v>
      </c>
      <c r="H188" s="173">
        <v>1.92</v>
      </c>
      <c r="I188" s="173">
        <v>1.92</v>
      </c>
      <c r="J188" s="174">
        <v>13.787219990093</v>
      </c>
      <c r="K188" s="180">
        <v>7</v>
      </c>
      <c r="L188" s="168" t="s">
        <v>149</v>
      </c>
      <c r="M188" s="168" t="s">
        <v>63</v>
      </c>
      <c r="N188" s="168" t="s">
        <v>63</v>
      </c>
      <c r="O188" s="78"/>
    </row>
    <row r="189" spans="1:22" x14ac:dyDescent="0.2">
      <c r="A189" s="168" t="s">
        <v>259</v>
      </c>
      <c r="B189" s="168" t="s">
        <v>480</v>
      </c>
      <c r="C189" s="173">
        <v>4.601</v>
      </c>
      <c r="D189" s="173">
        <v>2.802</v>
      </c>
      <c r="E189" s="173">
        <v>3.4980000000000002</v>
      </c>
      <c r="F189" s="173">
        <v>0</v>
      </c>
      <c r="G189" s="173">
        <v>0</v>
      </c>
      <c r="H189" s="173">
        <v>0</v>
      </c>
      <c r="I189" s="173">
        <v>0</v>
      </c>
      <c r="J189" s="174">
        <v>2.7071579485036299</v>
      </c>
      <c r="K189" s="180">
        <v>7</v>
      </c>
      <c r="L189" s="168" t="s">
        <v>149</v>
      </c>
      <c r="M189" s="168" t="s">
        <v>10</v>
      </c>
      <c r="N189" s="168" t="s">
        <v>62</v>
      </c>
      <c r="O189" s="78">
        <v>100</v>
      </c>
    </row>
    <row r="190" spans="1:22" x14ac:dyDescent="0.2">
      <c r="A190" s="168" t="s">
        <v>259</v>
      </c>
      <c r="B190" s="168" t="s">
        <v>260</v>
      </c>
      <c r="C190" s="173">
        <v>18.274000000000001</v>
      </c>
      <c r="D190" s="173">
        <v>17.207999999999998</v>
      </c>
      <c r="E190" s="173">
        <v>17.225999999999999</v>
      </c>
      <c r="F190" s="173">
        <v>17.225999999999999</v>
      </c>
      <c r="G190" s="173">
        <v>17.225999999999999</v>
      </c>
      <c r="H190" s="173">
        <v>17.225999999999999</v>
      </c>
      <c r="I190" s="173">
        <v>17.225999999999999</v>
      </c>
      <c r="J190" s="174">
        <v>13.331475935083899</v>
      </c>
      <c r="K190" s="180">
        <v>7</v>
      </c>
      <c r="L190" s="168" t="s">
        <v>149</v>
      </c>
      <c r="M190" s="168" t="s">
        <v>261</v>
      </c>
      <c r="N190" s="168" t="s">
        <v>62</v>
      </c>
      <c r="O190" s="78"/>
    </row>
    <row r="191" spans="1:22" x14ac:dyDescent="0.2">
      <c r="A191" s="168" t="s">
        <v>259</v>
      </c>
      <c r="B191" s="168" t="s">
        <v>381</v>
      </c>
      <c r="C191" s="173">
        <v>17.161999999999999</v>
      </c>
      <c r="D191" s="173">
        <v>7.1130000000000004</v>
      </c>
      <c r="E191" s="173">
        <v>10.667</v>
      </c>
      <c r="F191" s="173">
        <v>2.585</v>
      </c>
      <c r="G191" s="173">
        <v>1.5</v>
      </c>
      <c r="H191" s="173">
        <v>1.5</v>
      </c>
      <c r="I191" s="173">
        <v>1.5</v>
      </c>
      <c r="J191" s="174">
        <v>8.2553613026552988</v>
      </c>
      <c r="K191" s="180">
        <v>7</v>
      </c>
      <c r="L191" s="168" t="s">
        <v>149</v>
      </c>
      <c r="M191" s="168" t="s">
        <v>10</v>
      </c>
      <c r="N191" s="168" t="s">
        <v>63</v>
      </c>
      <c r="O191" s="78">
        <v>100</v>
      </c>
    </row>
    <row r="192" spans="1:22" x14ac:dyDescent="0.2">
      <c r="A192" s="168" t="s">
        <v>259</v>
      </c>
      <c r="B192" s="168" t="s">
        <v>382</v>
      </c>
      <c r="C192" s="173">
        <v>0</v>
      </c>
      <c r="D192" s="173">
        <v>2</v>
      </c>
      <c r="E192" s="173">
        <v>2</v>
      </c>
      <c r="F192" s="173">
        <v>2</v>
      </c>
      <c r="G192" s="173">
        <v>2</v>
      </c>
      <c r="H192" s="173">
        <v>2</v>
      </c>
      <c r="I192" s="173">
        <v>2</v>
      </c>
      <c r="J192" s="174">
        <v>1.5478318745017901</v>
      </c>
      <c r="K192" s="180">
        <v>7</v>
      </c>
      <c r="L192" s="168" t="s">
        <v>149</v>
      </c>
      <c r="M192" s="168" t="s">
        <v>10</v>
      </c>
      <c r="N192" s="168" t="s">
        <v>63</v>
      </c>
      <c r="O192" s="78"/>
    </row>
    <row r="193" spans="1:22" x14ac:dyDescent="0.2">
      <c r="A193" s="168" t="s">
        <v>259</v>
      </c>
      <c r="B193" s="168" t="s">
        <v>383</v>
      </c>
      <c r="C193" s="173">
        <v>5.1050000000000004</v>
      </c>
      <c r="D193" s="173">
        <v>5.1130000000000004</v>
      </c>
      <c r="E193" s="173">
        <v>5.1130000000000004</v>
      </c>
      <c r="F193" s="173">
        <v>5.1130000000000004</v>
      </c>
      <c r="G193" s="173">
        <v>5.1130000000000004</v>
      </c>
      <c r="H193" s="173">
        <v>5.1130000000000004</v>
      </c>
      <c r="I193" s="173">
        <v>5.1130000000000004</v>
      </c>
      <c r="J193" s="174">
        <v>3.9570321871638301</v>
      </c>
      <c r="K193" s="180">
        <v>7</v>
      </c>
      <c r="L193" s="168" t="s">
        <v>149</v>
      </c>
      <c r="M193" s="168" t="s">
        <v>10</v>
      </c>
      <c r="N193" s="168" t="s">
        <v>62</v>
      </c>
      <c r="O193" s="78">
        <v>100</v>
      </c>
    </row>
    <row r="194" spans="1:22" x14ac:dyDescent="0.2">
      <c r="A194" s="168" t="s">
        <v>479</v>
      </c>
      <c r="B194" s="168" t="s">
        <v>258</v>
      </c>
      <c r="C194" s="173">
        <v>30.204999999999998</v>
      </c>
      <c r="D194" s="173">
        <v>27.181000000000001</v>
      </c>
      <c r="E194" s="173">
        <v>9.6419999999999995</v>
      </c>
      <c r="F194" s="173">
        <v>0</v>
      </c>
      <c r="G194" s="173">
        <v>0</v>
      </c>
      <c r="H194" s="173">
        <v>0</v>
      </c>
      <c r="I194" s="173">
        <v>0</v>
      </c>
      <c r="J194" s="174">
        <v>11.671286601382299</v>
      </c>
      <c r="K194" s="180">
        <v>7</v>
      </c>
      <c r="L194" s="168" t="s">
        <v>149</v>
      </c>
      <c r="M194" s="168" t="s">
        <v>10</v>
      </c>
      <c r="N194" s="168" t="s">
        <v>63</v>
      </c>
      <c r="O194" s="78"/>
    </row>
    <row r="195" spans="1:22" x14ac:dyDescent="0.2">
      <c r="A195" s="168" t="s">
        <v>248</v>
      </c>
      <c r="B195" s="168" t="s">
        <v>257</v>
      </c>
      <c r="C195" s="173">
        <v>89.611000000000004</v>
      </c>
      <c r="D195" s="173">
        <v>83.784999999999997</v>
      </c>
      <c r="E195" s="173">
        <v>93.611000000000004</v>
      </c>
      <c r="F195" s="173">
        <v>101.73699999999999</v>
      </c>
      <c r="G195" s="173">
        <v>95.4</v>
      </c>
      <c r="H195" s="173">
        <v>101.613</v>
      </c>
      <c r="I195" s="173">
        <v>97.326999999999998</v>
      </c>
      <c r="J195" s="174">
        <v>75.019634242118201</v>
      </c>
      <c r="K195" s="180">
        <v>7</v>
      </c>
      <c r="L195" s="168" t="s">
        <v>149</v>
      </c>
      <c r="M195" s="168" t="s">
        <v>249</v>
      </c>
      <c r="N195" s="168" t="s">
        <v>63</v>
      </c>
      <c r="O195" s="78"/>
    </row>
    <row r="196" spans="1:22" x14ac:dyDescent="0.2">
      <c r="A196" s="168" t="s">
        <v>248</v>
      </c>
      <c r="B196" s="168" t="s">
        <v>257</v>
      </c>
      <c r="C196" s="173">
        <v>5.1870000000000003</v>
      </c>
      <c r="D196" s="173">
        <v>5.9029999999999996</v>
      </c>
      <c r="E196" s="173">
        <v>5.6360000000000001</v>
      </c>
      <c r="F196" s="173">
        <v>5.5270000000000001</v>
      </c>
      <c r="G196" s="173">
        <v>5.0019999999999998</v>
      </c>
      <c r="H196" s="173">
        <v>4.8739999999999997</v>
      </c>
      <c r="I196" s="173">
        <v>4.8739999999999997</v>
      </c>
      <c r="J196" s="174">
        <v>4.5166770848359503</v>
      </c>
      <c r="K196" s="180">
        <v>7</v>
      </c>
      <c r="L196" s="168" t="s">
        <v>149</v>
      </c>
      <c r="M196" s="168" t="s">
        <v>155</v>
      </c>
      <c r="N196" s="168" t="s">
        <v>62</v>
      </c>
      <c r="O196" s="78"/>
    </row>
    <row r="197" spans="1:22" x14ac:dyDescent="0.2">
      <c r="A197" s="168" t="s">
        <v>248</v>
      </c>
      <c r="B197" s="168" t="s">
        <v>384</v>
      </c>
      <c r="C197" s="173">
        <v>15.7</v>
      </c>
      <c r="D197" s="173">
        <v>17.2</v>
      </c>
      <c r="E197" s="173">
        <v>16.399999999999999</v>
      </c>
      <c r="F197" s="173">
        <v>12.7</v>
      </c>
      <c r="G197" s="173">
        <v>9</v>
      </c>
      <c r="H197" s="173">
        <v>7.5</v>
      </c>
      <c r="I197" s="173">
        <v>6.9</v>
      </c>
      <c r="J197" s="174">
        <v>13.142921254668099</v>
      </c>
      <c r="K197" s="180">
        <v>7</v>
      </c>
      <c r="L197" s="168" t="s">
        <v>149</v>
      </c>
      <c r="M197" s="168" t="s">
        <v>249</v>
      </c>
      <c r="N197" s="168" t="s">
        <v>63</v>
      </c>
      <c r="O197" s="78">
        <v>50</v>
      </c>
    </row>
    <row r="198" spans="1:22" x14ac:dyDescent="0.2">
      <c r="A198" s="168" t="s">
        <v>255</v>
      </c>
      <c r="B198" s="168" t="s">
        <v>256</v>
      </c>
      <c r="C198" s="173">
        <v>0.28000000000000003</v>
      </c>
      <c r="D198" s="173">
        <v>0.25</v>
      </c>
      <c r="E198" s="173">
        <v>0</v>
      </c>
      <c r="F198" s="173">
        <v>0</v>
      </c>
      <c r="G198" s="173">
        <v>0</v>
      </c>
      <c r="H198" s="173">
        <v>0</v>
      </c>
      <c r="I198" s="173">
        <v>0</v>
      </c>
      <c r="J198" s="174">
        <v>0</v>
      </c>
      <c r="K198" s="180">
        <v>7</v>
      </c>
      <c r="L198" s="168" t="s">
        <v>149</v>
      </c>
      <c r="M198" s="168" t="s">
        <v>63</v>
      </c>
      <c r="N198" s="168" t="s">
        <v>63</v>
      </c>
      <c r="O198" s="78"/>
    </row>
    <row r="199" spans="1:22" x14ac:dyDescent="0.2">
      <c r="A199" s="168" t="s">
        <v>255</v>
      </c>
      <c r="B199" s="168" t="s">
        <v>256</v>
      </c>
      <c r="C199" s="173">
        <v>1.8120000000000001</v>
      </c>
      <c r="D199" s="173">
        <v>0.6</v>
      </c>
      <c r="E199" s="173">
        <v>0.53600000000000003</v>
      </c>
      <c r="F199" s="173">
        <v>0</v>
      </c>
      <c r="G199" s="173">
        <v>0</v>
      </c>
      <c r="H199" s="173">
        <v>0</v>
      </c>
      <c r="I199" s="173">
        <v>0</v>
      </c>
      <c r="J199" s="174">
        <v>5.5532532117695803</v>
      </c>
      <c r="K199" s="180">
        <v>7</v>
      </c>
      <c r="L199" s="168" t="s">
        <v>149</v>
      </c>
      <c r="M199" s="168" t="s">
        <v>28</v>
      </c>
      <c r="N199" s="168" t="s">
        <v>63</v>
      </c>
      <c r="O199" s="78"/>
    </row>
    <row r="200" spans="1:22" x14ac:dyDescent="0.2">
      <c r="A200" s="168" t="s">
        <v>328</v>
      </c>
      <c r="B200" s="168" t="s">
        <v>345</v>
      </c>
      <c r="C200" s="173">
        <v>13.9</v>
      </c>
      <c r="D200" s="173">
        <v>13.9</v>
      </c>
      <c r="E200" s="173">
        <v>11.9</v>
      </c>
      <c r="F200" s="173">
        <v>10.9</v>
      </c>
      <c r="G200" s="173">
        <v>10.9</v>
      </c>
      <c r="H200" s="173">
        <v>10.9</v>
      </c>
      <c r="I200" s="173">
        <v>10.9</v>
      </c>
      <c r="J200" s="174">
        <v>53.581881219325503</v>
      </c>
      <c r="K200" s="180" t="s">
        <v>115</v>
      </c>
      <c r="L200" s="168" t="s">
        <v>154</v>
      </c>
      <c r="M200" s="168" t="s">
        <v>45</v>
      </c>
      <c r="N200" s="168" t="s">
        <v>62</v>
      </c>
      <c r="O200" s="78"/>
    </row>
    <row r="201" spans="1:22" x14ac:dyDescent="0.2">
      <c r="A201" s="168" t="s">
        <v>251</v>
      </c>
      <c r="B201" s="168" t="s">
        <v>253</v>
      </c>
      <c r="C201" s="173">
        <v>5.3019999999999996</v>
      </c>
      <c r="D201" s="173">
        <v>5.2140000000000004</v>
      </c>
      <c r="E201" s="173">
        <v>5.6360000000000001</v>
      </c>
      <c r="F201" s="173">
        <v>5.7489999999999997</v>
      </c>
      <c r="G201" s="173">
        <v>5.8639999999999999</v>
      </c>
      <c r="H201" s="173">
        <v>5.9809999999999999</v>
      </c>
      <c r="I201" s="173">
        <v>6.101</v>
      </c>
      <c r="J201" s="174">
        <v>43.6933095588805</v>
      </c>
      <c r="K201" s="180">
        <v>11</v>
      </c>
      <c r="L201" s="168" t="s">
        <v>95</v>
      </c>
      <c r="M201" s="168" t="s">
        <v>254</v>
      </c>
      <c r="N201" s="168" t="s">
        <v>62</v>
      </c>
      <c r="O201" s="78"/>
    </row>
    <row r="202" spans="1:22" x14ac:dyDescent="0.2">
      <c r="A202" s="168" t="s">
        <v>251</v>
      </c>
      <c r="B202" s="168" t="s">
        <v>252</v>
      </c>
      <c r="C202" s="173">
        <v>2.0779999999999998</v>
      </c>
      <c r="D202" s="173">
        <v>3.964</v>
      </c>
      <c r="E202" s="173">
        <v>4.07</v>
      </c>
      <c r="F202" s="173">
        <v>2.9220000000000002</v>
      </c>
      <c r="G202" s="173">
        <v>0.92500000000000004</v>
      </c>
      <c r="H202" s="173">
        <v>0.92500000000000004</v>
      </c>
      <c r="I202" s="173">
        <v>0.92500000000000004</v>
      </c>
      <c r="J202" s="174">
        <v>31.552833552988602</v>
      </c>
      <c r="K202" s="180">
        <v>11</v>
      </c>
      <c r="L202" s="168" t="s">
        <v>95</v>
      </c>
      <c r="M202" s="168" t="s">
        <v>10</v>
      </c>
      <c r="N202" s="168" t="s">
        <v>63</v>
      </c>
      <c r="O202" s="78"/>
    </row>
    <row r="203" spans="1:22" x14ac:dyDescent="0.2">
      <c r="A203" s="168" t="s">
        <v>251</v>
      </c>
      <c r="B203" s="168" t="s">
        <v>252</v>
      </c>
      <c r="C203" s="173">
        <v>5.5E-2</v>
      </c>
      <c r="D203" s="173">
        <v>0.105</v>
      </c>
      <c r="E203" s="173">
        <v>0.108</v>
      </c>
      <c r="F203" s="173">
        <v>7.6999999999999999E-2</v>
      </c>
      <c r="G203" s="173">
        <v>2.4E-2</v>
      </c>
      <c r="H203" s="173">
        <v>2.4E-2</v>
      </c>
      <c r="I203" s="173">
        <v>2.4E-2</v>
      </c>
      <c r="J203" s="174">
        <v>0.83727420730289204</v>
      </c>
      <c r="K203" s="180">
        <v>11</v>
      </c>
      <c r="L203" s="168" t="s">
        <v>95</v>
      </c>
      <c r="M203" s="168" t="s">
        <v>16</v>
      </c>
      <c r="N203" s="168" t="s">
        <v>63</v>
      </c>
      <c r="O203" s="78"/>
    </row>
    <row r="204" spans="1:22" x14ac:dyDescent="0.2">
      <c r="A204" s="168" t="s">
        <v>251</v>
      </c>
      <c r="B204" s="168" t="s">
        <v>252</v>
      </c>
      <c r="C204" s="173">
        <v>0.114</v>
      </c>
      <c r="D204" s="173">
        <v>0.217</v>
      </c>
      <c r="E204" s="173">
        <v>0.223</v>
      </c>
      <c r="F204" s="173">
        <v>0.16</v>
      </c>
      <c r="G204" s="173">
        <v>5.0999999999999997E-2</v>
      </c>
      <c r="H204" s="173">
        <v>5.0999999999999997E-2</v>
      </c>
      <c r="I204" s="173">
        <v>5.0999999999999997E-2</v>
      </c>
      <c r="J204" s="174">
        <v>1.7288161873013401</v>
      </c>
      <c r="K204" s="180">
        <v>11</v>
      </c>
      <c r="L204" s="168" t="s">
        <v>95</v>
      </c>
      <c r="M204" s="168" t="s">
        <v>112</v>
      </c>
      <c r="N204" s="168" t="s">
        <v>63</v>
      </c>
      <c r="O204" s="78"/>
    </row>
    <row r="205" spans="1:22" ht="15" x14ac:dyDescent="0.25">
      <c r="A205" s="92"/>
      <c r="B205" s="92" t="s">
        <v>129</v>
      </c>
      <c r="C205" s="176">
        <f>SUM(C185:C204)</f>
        <v>252.02800000000005</v>
      </c>
      <c r="D205" s="176">
        <f t="shared" ref="D205:I205" si="8">SUM(D185:D204)</f>
        <v>233.03099999999998</v>
      </c>
      <c r="E205" s="176">
        <f t="shared" si="8"/>
        <v>226.971</v>
      </c>
      <c r="F205" s="176">
        <f t="shared" si="8"/>
        <v>205.39299999999997</v>
      </c>
      <c r="G205" s="176">
        <f t="shared" si="8"/>
        <v>188.82500000000002</v>
      </c>
      <c r="H205" s="176">
        <f t="shared" si="8"/>
        <v>197.02699999999999</v>
      </c>
      <c r="I205" s="176">
        <f t="shared" si="8"/>
        <v>192.261</v>
      </c>
      <c r="J205" s="92"/>
      <c r="K205" s="92"/>
      <c r="L205" s="23"/>
      <c r="M205" s="92"/>
      <c r="N205" s="92"/>
      <c r="O205" s="179"/>
      <c r="P205" s="5"/>
      <c r="Q205" s="5"/>
      <c r="R205" s="5"/>
      <c r="S205" s="5"/>
      <c r="T205" s="5"/>
      <c r="U205" s="5"/>
      <c r="V205" s="5"/>
    </row>
    <row r="206" spans="1:22" x14ac:dyDescent="0.2">
      <c r="A206" s="7"/>
      <c r="C206" s="66"/>
      <c r="D206" s="66"/>
      <c r="E206" s="66"/>
      <c r="F206" s="66"/>
      <c r="G206" s="66"/>
      <c r="H206" s="66"/>
      <c r="I206" s="66"/>
      <c r="O206" s="13"/>
    </row>
    <row r="207" spans="1:22" ht="15.75" x14ac:dyDescent="0.25">
      <c r="A207" s="34"/>
      <c r="B207" s="35" t="s">
        <v>127</v>
      </c>
      <c r="C207" s="36">
        <f t="shared" ref="C207:I207" si="9">SUM(C8,C17,C25,C34,C70,C78,C106,C178,C182,C205)</f>
        <v>4873.7931834128794</v>
      </c>
      <c r="D207" s="36">
        <f t="shared" si="9"/>
        <v>5020.1591616254454</v>
      </c>
      <c r="E207" s="36">
        <f t="shared" si="9"/>
        <v>4861.4619676530183</v>
      </c>
      <c r="F207" s="36">
        <f t="shared" si="9"/>
        <v>4737.5358085387797</v>
      </c>
      <c r="G207" s="36">
        <f t="shared" si="9"/>
        <v>4660.2373380735162</v>
      </c>
      <c r="H207" s="36">
        <f t="shared" si="9"/>
        <v>4657.046499919461</v>
      </c>
      <c r="I207" s="36">
        <f t="shared" si="9"/>
        <v>4682.2573734865937</v>
      </c>
      <c r="J207" s="14"/>
      <c r="K207" s="14"/>
      <c r="L207" s="14"/>
      <c r="M207" s="14"/>
      <c r="N207" s="14"/>
      <c r="O207" s="14"/>
    </row>
    <row r="208" spans="1:22" x14ac:dyDescent="0.2">
      <c r="O208" s="13"/>
    </row>
    <row r="209" spans="1:22" ht="15" x14ac:dyDescent="0.25">
      <c r="B209" s="3" t="s">
        <v>224</v>
      </c>
      <c r="O209" s="152"/>
      <c r="P209" s="5"/>
      <c r="Q209" s="5"/>
      <c r="R209" s="5"/>
      <c r="S209" s="5"/>
      <c r="T209" s="5"/>
      <c r="U209" s="5"/>
      <c r="V209" s="5"/>
    </row>
    <row r="210" spans="1:22" x14ac:dyDescent="0.2">
      <c r="B210" s="23"/>
      <c r="C210" s="1">
        <v>2014</v>
      </c>
      <c r="D210" s="1">
        <v>2015</v>
      </c>
      <c r="E210" s="1">
        <v>2016</v>
      </c>
      <c r="F210" s="1">
        <v>2017</v>
      </c>
      <c r="G210" s="1">
        <v>2018</v>
      </c>
      <c r="H210" s="1">
        <v>2019</v>
      </c>
      <c r="I210" s="1">
        <v>2020</v>
      </c>
      <c r="K210" s="1" t="s">
        <v>518</v>
      </c>
      <c r="L210" s="76" t="s">
        <v>329</v>
      </c>
      <c r="O210" s="13"/>
    </row>
    <row r="211" spans="1:22" x14ac:dyDescent="0.2">
      <c r="B211" s="7" t="s">
        <v>212</v>
      </c>
      <c r="C211" s="142">
        <f t="shared" ref="C211:I211" si="10">C8</f>
        <v>0.45200000000000001</v>
      </c>
      <c r="D211" s="142">
        <f t="shared" si="10"/>
        <v>0.68899999999999995</v>
      </c>
      <c r="E211" s="142">
        <f t="shared" si="10"/>
        <v>0.59399999999999997</v>
      </c>
      <c r="F211" s="142">
        <f t="shared" si="10"/>
        <v>0.59399999999999997</v>
      </c>
      <c r="G211" s="142">
        <f t="shared" si="10"/>
        <v>0.59399999999999997</v>
      </c>
      <c r="H211" s="142">
        <f t="shared" si="10"/>
        <v>0.59399999999999997</v>
      </c>
      <c r="I211" s="142">
        <f t="shared" si="10"/>
        <v>0.59399999999999997</v>
      </c>
      <c r="K211" s="82">
        <f t="shared" ref="K211:K221" si="11">+I211-C211</f>
        <v>0.14199999999999996</v>
      </c>
      <c r="L211" s="83">
        <f t="shared" ref="L211:L221" si="12">+(I211-C211)/C211*100</f>
        <v>31.415929203539811</v>
      </c>
      <c r="O211" s="13"/>
    </row>
    <row r="212" spans="1:22" s="1" customFormat="1" x14ac:dyDescent="0.2">
      <c r="A212" s="4"/>
      <c r="B212" s="7" t="s">
        <v>213</v>
      </c>
      <c r="C212" s="142">
        <f t="shared" ref="C212:I212" si="13">C17</f>
        <v>42.844000000000001</v>
      </c>
      <c r="D212" s="142">
        <f t="shared" si="13"/>
        <v>45.113999999999997</v>
      </c>
      <c r="E212" s="142">
        <f t="shared" si="13"/>
        <v>43.8</v>
      </c>
      <c r="F212" s="142">
        <f t="shared" si="13"/>
        <v>42.701000000000001</v>
      </c>
      <c r="G212" s="142">
        <f t="shared" si="13"/>
        <v>42.701000000000001</v>
      </c>
      <c r="H212" s="142">
        <f t="shared" si="13"/>
        <v>42.701000000000001</v>
      </c>
      <c r="I212" s="142">
        <f t="shared" si="13"/>
        <v>42.701000000000001</v>
      </c>
      <c r="J212" s="4"/>
      <c r="K212" s="82">
        <f t="shared" si="11"/>
        <v>-0.14300000000000068</v>
      </c>
      <c r="L212" s="83">
        <f t="shared" si="12"/>
        <v>-0.33376902250023499</v>
      </c>
      <c r="M212" s="4"/>
      <c r="N212" s="4"/>
      <c r="O212" s="13"/>
    </row>
    <row r="213" spans="1:22" x14ac:dyDescent="0.2">
      <c r="B213" s="7" t="s">
        <v>214</v>
      </c>
      <c r="C213" s="142">
        <f t="shared" ref="C213:I213" si="14">C25</f>
        <v>21.279489256961618</v>
      </c>
      <c r="D213" s="142">
        <f t="shared" si="14"/>
        <v>21.38500910228149</v>
      </c>
      <c r="E213" s="142">
        <f t="shared" si="14"/>
        <v>20.730611092092477</v>
      </c>
      <c r="F213" s="142">
        <f t="shared" si="14"/>
        <v>20.38660101932755</v>
      </c>
      <c r="G213" s="142">
        <f t="shared" si="14"/>
        <v>20.202007133586513</v>
      </c>
      <c r="H213" s="142">
        <f t="shared" si="14"/>
        <v>20.236845228154259</v>
      </c>
      <c r="I213" s="142">
        <f t="shared" si="14"/>
        <v>20.246716021615121</v>
      </c>
      <c r="K213" s="82">
        <f t="shared" si="11"/>
        <v>-1.0327732353464967</v>
      </c>
      <c r="L213" s="83">
        <f t="shared" si="12"/>
        <v>-4.8533741711334697</v>
      </c>
      <c r="O213" s="13"/>
    </row>
    <row r="214" spans="1:22" x14ac:dyDescent="0.2">
      <c r="B214" s="7" t="s">
        <v>215</v>
      </c>
      <c r="C214" s="142">
        <f t="shared" ref="C214:I214" si="15">C34</f>
        <v>19.701000000000001</v>
      </c>
      <c r="D214" s="142">
        <f t="shared" si="15"/>
        <v>21.606999999999999</v>
      </c>
      <c r="E214" s="142">
        <f t="shared" si="15"/>
        <v>18.260000000000002</v>
      </c>
      <c r="F214" s="142">
        <f t="shared" si="15"/>
        <v>18.14</v>
      </c>
      <c r="G214" s="142">
        <f t="shared" si="15"/>
        <v>16.088999999999999</v>
      </c>
      <c r="H214" s="142">
        <f t="shared" si="15"/>
        <v>15.923</v>
      </c>
      <c r="I214" s="142">
        <f t="shared" si="15"/>
        <v>17.14</v>
      </c>
      <c r="K214" s="82">
        <f t="shared" si="11"/>
        <v>-2.5609999999999999</v>
      </c>
      <c r="L214" s="83">
        <f t="shared" si="12"/>
        <v>-12.999340135018524</v>
      </c>
      <c r="O214" s="13"/>
    </row>
    <row r="215" spans="1:22" x14ac:dyDescent="0.2">
      <c r="B215" s="7" t="s">
        <v>216</v>
      </c>
      <c r="C215" s="142">
        <f>C70</f>
        <v>3501.0267613469177</v>
      </c>
      <c r="D215" s="142">
        <f t="shared" ref="D215:I215" si="16">D70</f>
        <v>3594.5610454261923</v>
      </c>
      <c r="E215" s="142">
        <f t="shared" si="16"/>
        <v>3551.2989293791056</v>
      </c>
      <c r="F215" s="142">
        <f t="shared" si="16"/>
        <v>3522.3393813758444</v>
      </c>
      <c r="G215" s="142">
        <f t="shared" si="16"/>
        <v>3497.9856428350195</v>
      </c>
      <c r="H215" s="142">
        <f t="shared" si="16"/>
        <v>3497.8186663013175</v>
      </c>
      <c r="I215" s="142">
        <f t="shared" si="16"/>
        <v>3509.3625647368031</v>
      </c>
      <c r="K215" s="82">
        <f t="shared" si="11"/>
        <v>8.3358033898853137</v>
      </c>
      <c r="L215" s="83">
        <f t="shared" si="12"/>
        <v>0.23809596321618395</v>
      </c>
      <c r="O215" s="13"/>
    </row>
    <row r="216" spans="1:22" x14ac:dyDescent="0.2">
      <c r="B216" s="7" t="s">
        <v>90</v>
      </c>
      <c r="C216" s="142">
        <f>C78</f>
        <v>59.402999999999999</v>
      </c>
      <c r="D216" s="142">
        <f t="shared" ref="D216:I216" si="17">D78</f>
        <v>61.105000000000004</v>
      </c>
      <c r="E216" s="142">
        <f t="shared" si="17"/>
        <v>57.174999999999997</v>
      </c>
      <c r="F216" s="142">
        <f t="shared" si="17"/>
        <v>56.954000000000008</v>
      </c>
      <c r="G216" s="142">
        <f t="shared" si="17"/>
        <v>56.957000000000001</v>
      </c>
      <c r="H216" s="142">
        <f t="shared" si="17"/>
        <v>56.957000000000001</v>
      </c>
      <c r="I216" s="142">
        <f t="shared" si="17"/>
        <v>56.957000000000001</v>
      </c>
      <c r="K216" s="82">
        <f t="shared" si="11"/>
        <v>-2.445999999999998</v>
      </c>
      <c r="L216" s="83">
        <f t="shared" si="12"/>
        <v>-4.1176371563725702</v>
      </c>
      <c r="O216" s="13"/>
    </row>
    <row r="217" spans="1:22" x14ac:dyDescent="0.2">
      <c r="B217" s="7" t="s">
        <v>217</v>
      </c>
      <c r="C217" s="142">
        <f>C106</f>
        <v>67.877132809000059</v>
      </c>
      <c r="D217" s="142">
        <f t="shared" ref="D217:I217" si="18">D106</f>
        <v>71.105857096971263</v>
      </c>
      <c r="E217" s="142">
        <f t="shared" si="18"/>
        <v>66.021827181819972</v>
      </c>
      <c r="F217" s="142">
        <f t="shared" si="18"/>
        <v>69.300976143608423</v>
      </c>
      <c r="G217" s="142">
        <f t="shared" si="18"/>
        <v>50.722238104910957</v>
      </c>
      <c r="H217" s="142">
        <f t="shared" si="18"/>
        <v>50.392538389989618</v>
      </c>
      <c r="I217" s="142">
        <f t="shared" si="18"/>
        <v>48.753542728175368</v>
      </c>
      <c r="K217" s="82">
        <f t="shared" si="11"/>
        <v>-19.123590080824691</v>
      </c>
      <c r="L217" s="83">
        <f t="shared" si="12"/>
        <v>-28.173833056025941</v>
      </c>
      <c r="O217" s="13"/>
    </row>
    <row r="218" spans="1:22" x14ac:dyDescent="0.2">
      <c r="B218" s="7" t="s">
        <v>218</v>
      </c>
      <c r="C218" s="142">
        <f>C178</f>
        <v>908.58179999999982</v>
      </c>
      <c r="D218" s="142">
        <f t="shared" ref="D218:I218" si="19">D178</f>
        <v>970.76125000000025</v>
      </c>
      <c r="E218" s="142">
        <f t="shared" si="19"/>
        <v>875.51059999999995</v>
      </c>
      <c r="F218" s="142">
        <f t="shared" si="19"/>
        <v>800.82684999999992</v>
      </c>
      <c r="G218" s="142">
        <f t="shared" si="19"/>
        <v>785.26144999999997</v>
      </c>
      <c r="H218" s="142">
        <f t="shared" si="19"/>
        <v>774.49644999999987</v>
      </c>
      <c r="I218" s="142">
        <f t="shared" si="19"/>
        <v>793.34154999999987</v>
      </c>
      <c r="K218" s="82">
        <f t="shared" si="11"/>
        <v>-115.24024999999995</v>
      </c>
      <c r="L218" s="83">
        <f t="shared" si="12"/>
        <v>-12.683530530767836</v>
      </c>
      <c r="O218" s="13"/>
    </row>
    <row r="219" spans="1:22" x14ac:dyDescent="0.2">
      <c r="B219" s="7" t="s">
        <v>219</v>
      </c>
      <c r="C219" s="142">
        <f>C182</f>
        <v>0.6</v>
      </c>
      <c r="D219" s="142">
        <f t="shared" ref="D219:I219" si="20">D182</f>
        <v>0.8</v>
      </c>
      <c r="E219" s="142">
        <f t="shared" si="20"/>
        <v>1.1000000000000001</v>
      </c>
      <c r="F219" s="142">
        <f t="shared" si="20"/>
        <v>0.9</v>
      </c>
      <c r="G219" s="142">
        <f t="shared" si="20"/>
        <v>0.9</v>
      </c>
      <c r="H219" s="142">
        <f t="shared" si="20"/>
        <v>0.9</v>
      </c>
      <c r="I219" s="142">
        <f t="shared" si="20"/>
        <v>0.9</v>
      </c>
      <c r="K219" s="82">
        <f t="shared" si="11"/>
        <v>0.30000000000000004</v>
      </c>
      <c r="L219" s="83">
        <f t="shared" si="12"/>
        <v>50.000000000000014</v>
      </c>
      <c r="O219" s="13"/>
    </row>
    <row r="220" spans="1:22" x14ac:dyDescent="0.2">
      <c r="B220" s="7" t="s">
        <v>220</v>
      </c>
      <c r="C220" s="142">
        <f>C205</f>
        <v>252.02800000000005</v>
      </c>
      <c r="D220" s="142">
        <f t="shared" ref="D220:I220" si="21">D205</f>
        <v>233.03099999999998</v>
      </c>
      <c r="E220" s="142">
        <f t="shared" si="21"/>
        <v>226.971</v>
      </c>
      <c r="F220" s="142">
        <f t="shared" si="21"/>
        <v>205.39299999999997</v>
      </c>
      <c r="G220" s="142">
        <f t="shared" si="21"/>
        <v>188.82500000000002</v>
      </c>
      <c r="H220" s="142">
        <f t="shared" si="21"/>
        <v>197.02699999999999</v>
      </c>
      <c r="I220" s="142">
        <f t="shared" si="21"/>
        <v>192.261</v>
      </c>
      <c r="K220" s="82">
        <f t="shared" si="11"/>
        <v>-59.767000000000053</v>
      </c>
      <c r="L220" s="83">
        <f t="shared" si="12"/>
        <v>-23.714428555557333</v>
      </c>
      <c r="O220" s="13"/>
    </row>
    <row r="221" spans="1:22" x14ac:dyDescent="0.2">
      <c r="B221" s="23" t="s">
        <v>87</v>
      </c>
      <c r="C221" s="143">
        <f>SUM(C211:C220)</f>
        <v>4873.7931834128794</v>
      </c>
      <c r="D221" s="143">
        <f t="shared" ref="D221:I221" si="22">SUM(D211:D220)</f>
        <v>5020.1591616254454</v>
      </c>
      <c r="E221" s="143">
        <f t="shared" si="22"/>
        <v>4861.4619676530183</v>
      </c>
      <c r="F221" s="143">
        <f t="shared" si="22"/>
        <v>4737.5358085387797</v>
      </c>
      <c r="G221" s="143">
        <f t="shared" si="22"/>
        <v>4660.2373380735162</v>
      </c>
      <c r="H221" s="143">
        <f t="shared" si="22"/>
        <v>4657.046499919461</v>
      </c>
      <c r="I221" s="143">
        <f t="shared" si="22"/>
        <v>4682.2573734865937</v>
      </c>
      <c r="K221" s="84">
        <f t="shared" si="11"/>
        <v>-191.53580992628576</v>
      </c>
      <c r="L221" s="199">
        <f t="shared" si="12"/>
        <v>-3.9299125489802291</v>
      </c>
      <c r="O221" s="13"/>
    </row>
    <row r="222" spans="1:22" x14ac:dyDescent="0.2">
      <c r="O222" s="13"/>
    </row>
    <row r="223" spans="1:22" ht="15" x14ac:dyDescent="0.25">
      <c r="A223" s="3"/>
      <c r="B223" s="3"/>
      <c r="C223" s="6"/>
      <c r="D223" s="6"/>
      <c r="E223" s="6"/>
      <c r="F223" s="6"/>
      <c r="G223" s="6"/>
      <c r="H223" s="6"/>
      <c r="I223" s="6"/>
      <c r="J223" s="3"/>
      <c r="K223" s="3"/>
      <c r="L223" s="1"/>
      <c r="M223" s="3"/>
      <c r="N223" s="3"/>
    </row>
    <row r="224" spans="1:22" s="41" customFormat="1" ht="15" x14ac:dyDescent="0.25">
      <c r="A224" s="144" t="s">
        <v>539</v>
      </c>
    </row>
    <row r="225" spans="2:11" x14ac:dyDescent="0.2">
      <c r="B225" s="4" t="s">
        <v>231</v>
      </c>
    </row>
    <row r="226" spans="2:11" ht="15" x14ac:dyDescent="0.25">
      <c r="B226" s="3" t="s">
        <v>511</v>
      </c>
    </row>
    <row r="227" spans="2:11" x14ac:dyDescent="0.2">
      <c r="K227" s="4" t="s">
        <v>231</v>
      </c>
    </row>
    <row r="228" spans="2:11" x14ac:dyDescent="0.2">
      <c r="B228" s="1" t="s">
        <v>276</v>
      </c>
      <c r="C228" s="1">
        <f>C210</f>
        <v>2014</v>
      </c>
      <c r="D228" s="1">
        <f t="shared" ref="D228:I228" si="23">D210</f>
        <v>2015</v>
      </c>
      <c r="E228" s="1">
        <f t="shared" si="23"/>
        <v>2016</v>
      </c>
      <c r="F228" s="1">
        <f t="shared" si="23"/>
        <v>2017</v>
      </c>
      <c r="G228" s="1">
        <f t="shared" si="23"/>
        <v>2018</v>
      </c>
      <c r="H228" s="1">
        <f t="shared" si="23"/>
        <v>2019</v>
      </c>
      <c r="I228" s="1">
        <f t="shared" si="23"/>
        <v>2020</v>
      </c>
    </row>
    <row r="229" spans="2:11" x14ac:dyDescent="0.2">
      <c r="B229" s="7" t="s">
        <v>212</v>
      </c>
      <c r="C229" s="83">
        <f t="shared" ref="C229:I229" si="24">C7</f>
        <v>0.45200000000000001</v>
      </c>
      <c r="D229" s="83">
        <f t="shared" si="24"/>
        <v>0.68899999999999995</v>
      </c>
      <c r="E229" s="83">
        <f t="shared" si="24"/>
        <v>0.59399999999999997</v>
      </c>
      <c r="F229" s="83">
        <f t="shared" si="24"/>
        <v>0.59399999999999997</v>
      </c>
      <c r="G229" s="83">
        <f t="shared" si="24"/>
        <v>0.59399999999999997</v>
      </c>
      <c r="H229" s="83">
        <f t="shared" si="24"/>
        <v>0.59399999999999997</v>
      </c>
      <c r="I229" s="83">
        <f t="shared" si="24"/>
        <v>0.59399999999999997</v>
      </c>
    </row>
    <row r="230" spans="2:11" x14ac:dyDescent="0.2">
      <c r="B230" s="7" t="s">
        <v>277</v>
      </c>
      <c r="C230" s="83">
        <f t="shared" ref="C230:I230" si="25">SUM(C13:C16)</f>
        <v>42.4</v>
      </c>
      <c r="D230" s="83">
        <f t="shared" si="25"/>
        <v>44.881999999999998</v>
      </c>
      <c r="E230" s="83">
        <f t="shared" si="25"/>
        <v>43.567999999999998</v>
      </c>
      <c r="F230" s="83">
        <f t="shared" si="25"/>
        <v>42.469000000000001</v>
      </c>
      <c r="G230" s="83">
        <f t="shared" si="25"/>
        <v>42.469000000000001</v>
      </c>
      <c r="H230" s="83">
        <f t="shared" si="25"/>
        <v>42.469000000000001</v>
      </c>
      <c r="I230" s="83">
        <f t="shared" si="25"/>
        <v>42.469000000000001</v>
      </c>
    </row>
    <row r="231" spans="2:11" x14ac:dyDescent="0.2">
      <c r="B231" s="7" t="s">
        <v>214</v>
      </c>
      <c r="C231" s="83">
        <f t="shared" ref="C231:I231" si="26">SUM(C21:C22)</f>
        <v>4.74</v>
      </c>
      <c r="D231" s="83">
        <f t="shared" si="26"/>
        <v>5.1520000000000001</v>
      </c>
      <c r="E231" s="83">
        <f t="shared" si="26"/>
        <v>4.7929999999999993</v>
      </c>
      <c r="F231" s="83">
        <f t="shared" si="26"/>
        <v>4.7919999999999998</v>
      </c>
      <c r="G231" s="83">
        <f t="shared" si="26"/>
        <v>4.7709999999999999</v>
      </c>
      <c r="H231" s="83">
        <f t="shared" si="26"/>
        <v>4.7709999999999999</v>
      </c>
      <c r="I231" s="83">
        <f t="shared" si="26"/>
        <v>4.7709999999999999</v>
      </c>
    </row>
    <row r="232" spans="2:11" x14ac:dyDescent="0.2">
      <c r="B232" s="7" t="s">
        <v>215</v>
      </c>
      <c r="C232" s="83">
        <f t="shared" ref="C232:I232" si="27">SUM(C28:C33)</f>
        <v>19.701000000000001</v>
      </c>
      <c r="D232" s="83">
        <f t="shared" si="27"/>
        <v>21.606999999999999</v>
      </c>
      <c r="E232" s="83">
        <f t="shared" si="27"/>
        <v>18.260000000000002</v>
      </c>
      <c r="F232" s="83">
        <f t="shared" si="27"/>
        <v>18.14</v>
      </c>
      <c r="G232" s="83">
        <f t="shared" si="27"/>
        <v>16.088999999999999</v>
      </c>
      <c r="H232" s="83">
        <f t="shared" si="27"/>
        <v>15.923</v>
      </c>
      <c r="I232" s="83">
        <f t="shared" si="27"/>
        <v>17.14</v>
      </c>
    </row>
    <row r="233" spans="2:11" x14ac:dyDescent="0.2">
      <c r="B233" s="7" t="s">
        <v>216</v>
      </c>
      <c r="C233" s="83">
        <f>SUM(C56:C69)</f>
        <v>636.548</v>
      </c>
      <c r="D233" s="83">
        <f t="shared" ref="D233:I233" si="28">SUM(D56:D69)</f>
        <v>698.64802000000009</v>
      </c>
      <c r="E233" s="83">
        <f t="shared" si="28"/>
        <v>681.41122999999993</v>
      </c>
      <c r="F233" s="83">
        <f t="shared" si="28"/>
        <v>664.36789999999996</v>
      </c>
      <c r="G233" s="83">
        <f t="shared" si="28"/>
        <v>661.32500000000005</v>
      </c>
      <c r="H233" s="83">
        <f t="shared" si="28"/>
        <v>660.03250000000003</v>
      </c>
      <c r="I233" s="83">
        <f t="shared" si="28"/>
        <v>659.75850000000014</v>
      </c>
    </row>
    <row r="234" spans="2:11" x14ac:dyDescent="0.2">
      <c r="B234" s="7" t="s">
        <v>90</v>
      </c>
      <c r="C234" s="83">
        <f>SUM(C75:C77)</f>
        <v>24.777999999999999</v>
      </c>
      <c r="D234" s="83">
        <f t="shared" ref="D234:I234" si="29">SUM(D75:D77)</f>
        <v>27.045000000000002</v>
      </c>
      <c r="E234" s="83">
        <f t="shared" si="29"/>
        <v>23.13</v>
      </c>
      <c r="F234" s="83">
        <f t="shared" si="29"/>
        <v>23.13</v>
      </c>
      <c r="G234" s="83">
        <f t="shared" si="29"/>
        <v>23.131999999999998</v>
      </c>
      <c r="H234" s="83">
        <f t="shared" si="29"/>
        <v>23.131999999999998</v>
      </c>
      <c r="I234" s="83">
        <f t="shared" si="29"/>
        <v>23.131999999999998</v>
      </c>
    </row>
    <row r="235" spans="2:11" x14ac:dyDescent="0.2">
      <c r="B235" s="7" t="s">
        <v>217</v>
      </c>
      <c r="C235" s="83">
        <f>SUM(C95:C105)</f>
        <v>24.915000000000003</v>
      </c>
      <c r="D235" s="83">
        <f>SUM(D95:D105)</f>
        <v>27.199000000000002</v>
      </c>
      <c r="E235" s="83">
        <f t="shared" ref="E235:I235" si="30">SUM(E95:E105)</f>
        <v>25.431000000000001</v>
      </c>
      <c r="F235" s="83">
        <f t="shared" si="30"/>
        <v>29.934999999999999</v>
      </c>
      <c r="G235" s="83">
        <f t="shared" si="30"/>
        <v>12.725</v>
      </c>
      <c r="H235" s="83">
        <f t="shared" si="30"/>
        <v>12.475</v>
      </c>
      <c r="I235" s="83">
        <f t="shared" si="30"/>
        <v>12.149999999999999</v>
      </c>
    </row>
    <row r="236" spans="2:11" x14ac:dyDescent="0.2">
      <c r="B236" s="7" t="s">
        <v>218</v>
      </c>
      <c r="C236" s="83">
        <f>SUM(C110,C115:C122,C124,C125,C127:C128,C130:C131,C137,C139:C143,C145:C148,C150:C153,C155,C157,C159,C166:C175)</f>
        <v>462.04555000000005</v>
      </c>
      <c r="D236" s="83">
        <f t="shared" ref="D236:I236" si="31">SUM(D110,D115:D122,D124,D125,D127:D128,D130:D131,D137,D139:D143,D145:D148,D150:D153,D155,D157,D159,D166:D175)</f>
        <v>563.64709999999991</v>
      </c>
      <c r="E236" s="83">
        <f t="shared" si="31"/>
        <v>477.09115000000003</v>
      </c>
      <c r="F236" s="83">
        <f t="shared" si="31"/>
        <v>423.26300000000009</v>
      </c>
      <c r="G236" s="83">
        <f t="shared" si="31"/>
        <v>415.40029999999996</v>
      </c>
      <c r="H236" s="83">
        <f t="shared" si="31"/>
        <v>407.60869999999994</v>
      </c>
      <c r="I236" s="83">
        <f t="shared" si="31"/>
        <v>426.17439999999993</v>
      </c>
    </row>
    <row r="237" spans="2:11" x14ac:dyDescent="0.2">
      <c r="B237" s="7" t="s">
        <v>219</v>
      </c>
      <c r="C237" s="83">
        <f>SUM(C182)</f>
        <v>0.6</v>
      </c>
      <c r="D237" s="83">
        <f t="shared" ref="D237:I237" si="32">SUM(D182)</f>
        <v>0.8</v>
      </c>
      <c r="E237" s="83">
        <f t="shared" si="32"/>
        <v>1.1000000000000001</v>
      </c>
      <c r="F237" s="83">
        <f t="shared" si="32"/>
        <v>0.9</v>
      </c>
      <c r="G237" s="83">
        <f t="shared" si="32"/>
        <v>0.9</v>
      </c>
      <c r="H237" s="83">
        <f t="shared" si="32"/>
        <v>0.9</v>
      </c>
      <c r="I237" s="83">
        <f t="shared" si="32"/>
        <v>0.9</v>
      </c>
    </row>
    <row r="238" spans="2:11" x14ac:dyDescent="0.2">
      <c r="B238" s="7" t="s">
        <v>220</v>
      </c>
      <c r="C238" s="83">
        <f>SUM(C186,C188,C191:C192,C194:C195,C197:C199,C202:C204)</f>
        <v>163.35900000000001</v>
      </c>
      <c r="D238" s="83">
        <f t="shared" ref="D238:I238" si="33">SUM(D186,D188,D191:D192,D194:D195,D197:D199,D202:D204)</f>
        <v>145.49099999999999</v>
      </c>
      <c r="E238" s="83">
        <f t="shared" si="33"/>
        <v>140.56200000000001</v>
      </c>
      <c r="F238" s="83">
        <f t="shared" si="33"/>
        <v>123.47799999999999</v>
      </c>
      <c r="G238" s="83">
        <f t="shared" si="33"/>
        <v>107.32000000000001</v>
      </c>
      <c r="H238" s="83">
        <f t="shared" si="33"/>
        <v>115.533</v>
      </c>
      <c r="I238" s="83">
        <f t="shared" si="33"/>
        <v>110.64700000000001</v>
      </c>
    </row>
    <row r="239" spans="2:11" x14ac:dyDescent="0.2">
      <c r="B239" s="1" t="s">
        <v>278</v>
      </c>
      <c r="C239" s="84">
        <f t="shared" ref="C239:I239" si="34">SUM(C229:C238)</f>
        <v>1379.5385499999998</v>
      </c>
      <c r="D239" s="84">
        <f t="shared" si="34"/>
        <v>1535.1601199999998</v>
      </c>
      <c r="E239" s="84">
        <f t="shared" si="34"/>
        <v>1415.94038</v>
      </c>
      <c r="F239" s="84">
        <f t="shared" si="34"/>
        <v>1331.0689000000002</v>
      </c>
      <c r="G239" s="84">
        <f t="shared" si="34"/>
        <v>1284.7253000000001</v>
      </c>
      <c r="H239" s="84">
        <f t="shared" si="34"/>
        <v>1283.4382000000001</v>
      </c>
      <c r="I239" s="84">
        <f t="shared" si="34"/>
        <v>1297.7359000000001</v>
      </c>
    </row>
    <row r="241" spans="2:9" x14ac:dyDescent="0.2">
      <c r="B241" s="1" t="s">
        <v>279</v>
      </c>
      <c r="C241" s="1">
        <f>C228</f>
        <v>2014</v>
      </c>
      <c r="D241" s="1">
        <f t="shared" ref="D241:I241" si="35">D228</f>
        <v>2015</v>
      </c>
      <c r="E241" s="1">
        <f t="shared" si="35"/>
        <v>2016</v>
      </c>
      <c r="F241" s="1">
        <f t="shared" si="35"/>
        <v>2017</v>
      </c>
      <c r="G241" s="1">
        <f t="shared" si="35"/>
        <v>2018</v>
      </c>
      <c r="H241" s="1">
        <f t="shared" si="35"/>
        <v>2019</v>
      </c>
      <c r="I241" s="1">
        <f t="shared" si="35"/>
        <v>2020</v>
      </c>
    </row>
    <row r="242" spans="2:9" x14ac:dyDescent="0.2">
      <c r="B242" s="7" t="s">
        <v>212</v>
      </c>
      <c r="C242" s="83">
        <v>0</v>
      </c>
      <c r="D242" s="83">
        <v>0</v>
      </c>
      <c r="E242" s="83">
        <v>0</v>
      </c>
      <c r="F242" s="83">
        <v>0</v>
      </c>
      <c r="G242" s="83">
        <v>0</v>
      </c>
      <c r="H242" s="83">
        <v>0</v>
      </c>
      <c r="I242" s="83">
        <v>0</v>
      </c>
    </row>
    <row r="243" spans="2:9" x14ac:dyDescent="0.2">
      <c r="B243" s="7" t="s">
        <v>277</v>
      </c>
      <c r="C243" s="83">
        <f t="shared" ref="C243:I243" si="36">SUM(C11:C12)</f>
        <v>0.44400000000000001</v>
      </c>
      <c r="D243" s="83">
        <f t="shared" si="36"/>
        <v>0.23199999999999998</v>
      </c>
      <c r="E243" s="83">
        <f t="shared" si="36"/>
        <v>0.23199999999999998</v>
      </c>
      <c r="F243" s="83">
        <f t="shared" si="36"/>
        <v>0.23199999999999998</v>
      </c>
      <c r="G243" s="83">
        <f t="shared" si="36"/>
        <v>0.23199999999999998</v>
      </c>
      <c r="H243" s="83">
        <f t="shared" si="36"/>
        <v>0.23199999999999998</v>
      </c>
      <c r="I243" s="83">
        <f t="shared" si="36"/>
        <v>0.23199999999999998</v>
      </c>
    </row>
    <row r="244" spans="2:9" x14ac:dyDescent="0.2">
      <c r="B244" s="7" t="s">
        <v>214</v>
      </c>
      <c r="C244" s="83">
        <f t="shared" ref="C244:I244" si="37">SUM(C20,C23:C24)</f>
        <v>16.53948925696162</v>
      </c>
      <c r="D244" s="83">
        <f t="shared" si="37"/>
        <v>16.233009102281489</v>
      </c>
      <c r="E244" s="83">
        <f t="shared" si="37"/>
        <v>15.937611092092478</v>
      </c>
      <c r="F244" s="83">
        <f t="shared" si="37"/>
        <v>15.594601019327552</v>
      </c>
      <c r="G244" s="83">
        <f t="shared" si="37"/>
        <v>15.431007133586512</v>
      </c>
      <c r="H244" s="83">
        <f t="shared" si="37"/>
        <v>15.465845228154258</v>
      </c>
      <c r="I244" s="83">
        <f t="shared" si="37"/>
        <v>15.475716021615121</v>
      </c>
    </row>
    <row r="245" spans="2:9" x14ac:dyDescent="0.2">
      <c r="B245" s="7" t="s">
        <v>215</v>
      </c>
      <c r="C245" s="83">
        <v>0</v>
      </c>
      <c r="D245" s="83">
        <v>0</v>
      </c>
      <c r="E245" s="83">
        <v>0</v>
      </c>
      <c r="F245" s="83">
        <v>0</v>
      </c>
      <c r="G245" s="83">
        <v>0</v>
      </c>
      <c r="H245" s="83">
        <v>0</v>
      </c>
      <c r="I245" s="83">
        <v>0</v>
      </c>
    </row>
    <row r="246" spans="2:9" x14ac:dyDescent="0.2">
      <c r="B246" s="7" t="s">
        <v>216</v>
      </c>
      <c r="C246" s="83">
        <f>SUM(C37:C55)</f>
        <v>2864.4787613469171</v>
      </c>
      <c r="D246" s="83">
        <f t="shared" ref="D246:I246" si="38">SUM(D37:D55)</f>
        <v>2895.9130254261927</v>
      </c>
      <c r="E246" s="83">
        <f t="shared" si="38"/>
        <v>2869.8876993791055</v>
      </c>
      <c r="F246" s="83">
        <f t="shared" si="38"/>
        <v>2857.9714813758442</v>
      </c>
      <c r="G246" s="83">
        <f t="shared" si="38"/>
        <v>2836.6606428350192</v>
      </c>
      <c r="H246" s="83">
        <f t="shared" si="38"/>
        <v>2837.7861663013168</v>
      </c>
      <c r="I246" s="83">
        <f t="shared" si="38"/>
        <v>2849.6040647368027</v>
      </c>
    </row>
    <row r="247" spans="2:9" x14ac:dyDescent="0.2">
      <c r="B247" s="7" t="s">
        <v>90</v>
      </c>
      <c r="C247" s="83">
        <f>SUM(C73:C74)</f>
        <v>34.625</v>
      </c>
      <c r="D247" s="83">
        <f t="shared" ref="D247:I247" si="39">SUM(D73:D74)</f>
        <v>34.06</v>
      </c>
      <c r="E247" s="83">
        <f t="shared" si="39"/>
        <v>34.045000000000002</v>
      </c>
      <c r="F247" s="83">
        <f t="shared" si="39"/>
        <v>33.824000000000005</v>
      </c>
      <c r="G247" s="83">
        <f t="shared" si="39"/>
        <v>33.825000000000003</v>
      </c>
      <c r="H247" s="83">
        <f t="shared" si="39"/>
        <v>33.825000000000003</v>
      </c>
      <c r="I247" s="83">
        <f t="shared" si="39"/>
        <v>33.825000000000003</v>
      </c>
    </row>
    <row r="248" spans="2:9" x14ac:dyDescent="0.2">
      <c r="B248" s="7" t="s">
        <v>217</v>
      </c>
      <c r="C248" s="83">
        <f>SUM(C81:C94)</f>
        <v>42.962132809000067</v>
      </c>
      <c r="D248" s="83">
        <f t="shared" ref="D248:I248" si="40">SUM(D81:D94)</f>
        <v>43.906857096971272</v>
      </c>
      <c r="E248" s="83">
        <f t="shared" si="40"/>
        <v>40.590827181819968</v>
      </c>
      <c r="F248" s="83">
        <f t="shared" si="40"/>
        <v>39.365976143608421</v>
      </c>
      <c r="G248" s="83">
        <f t="shared" si="40"/>
        <v>37.997238104910963</v>
      </c>
      <c r="H248" s="83">
        <f t="shared" si="40"/>
        <v>37.917538389989623</v>
      </c>
      <c r="I248" s="83">
        <f t="shared" si="40"/>
        <v>36.60354272817537</v>
      </c>
    </row>
    <row r="249" spans="2:9" x14ac:dyDescent="0.2">
      <c r="B249" s="7" t="s">
        <v>218</v>
      </c>
      <c r="C249" s="83">
        <f>SUM(C111:C113,C123,C126,C129,C132:C136,C138,C154,C156,C158,C160,C162:C165,C177)</f>
        <v>446.53625</v>
      </c>
      <c r="D249" s="83">
        <f t="shared" ref="D249:I249" si="41">SUM(D111:D113,D123,D126,D129,D132:D136,D138,D154,D156,D158,D160,D162:D165,D177)</f>
        <v>407.11415000000005</v>
      </c>
      <c r="E249" s="83">
        <f t="shared" si="41"/>
        <v>398.41944999999998</v>
      </c>
      <c r="F249" s="83">
        <f t="shared" si="41"/>
        <v>377.56385</v>
      </c>
      <c r="G249" s="83">
        <f t="shared" si="41"/>
        <v>369.86114999999995</v>
      </c>
      <c r="H249" s="83">
        <f t="shared" si="41"/>
        <v>366.88774999999998</v>
      </c>
      <c r="I249" s="83">
        <f t="shared" si="41"/>
        <v>367.16714999999999</v>
      </c>
    </row>
    <row r="250" spans="2:9" x14ac:dyDescent="0.2">
      <c r="B250" s="7" t="s">
        <v>219</v>
      </c>
      <c r="C250" s="83">
        <v>0</v>
      </c>
      <c r="D250" s="83">
        <v>0</v>
      </c>
      <c r="E250" s="83">
        <v>0</v>
      </c>
      <c r="F250" s="83">
        <v>0</v>
      </c>
      <c r="G250" s="83">
        <v>0</v>
      </c>
      <c r="H250" s="83">
        <v>0</v>
      </c>
      <c r="I250" s="83">
        <v>0</v>
      </c>
    </row>
    <row r="251" spans="2:9" x14ac:dyDescent="0.2">
      <c r="B251" s="7" t="s">
        <v>220</v>
      </c>
      <c r="C251" s="83">
        <f>SUM(C185,C187,C189:C190,C193,C196,C200:C201)</f>
        <v>88.669000000000011</v>
      </c>
      <c r="D251" s="83">
        <f t="shared" ref="D251:I251" si="42">SUM(D185,D187,D189:D190,D193,D196,D200:D201)</f>
        <v>87.54</v>
      </c>
      <c r="E251" s="83">
        <f t="shared" si="42"/>
        <v>86.408999999999992</v>
      </c>
      <c r="F251" s="83">
        <f t="shared" si="42"/>
        <v>81.914999999999992</v>
      </c>
      <c r="G251" s="83">
        <f t="shared" si="42"/>
        <v>81.50500000000001</v>
      </c>
      <c r="H251" s="83">
        <f t="shared" si="42"/>
        <v>81.494</v>
      </c>
      <c r="I251" s="83">
        <f t="shared" si="42"/>
        <v>81.614000000000004</v>
      </c>
    </row>
    <row r="252" spans="2:9" x14ac:dyDescent="0.2">
      <c r="B252" s="1" t="s">
        <v>280</v>
      </c>
      <c r="C252" s="84">
        <f t="shared" ref="C252:I252" si="43">SUM(C242:C251)</f>
        <v>3494.2546334128788</v>
      </c>
      <c r="D252" s="84">
        <f t="shared" si="43"/>
        <v>3484.999041625445</v>
      </c>
      <c r="E252" s="84">
        <f t="shared" si="43"/>
        <v>3445.5215876530178</v>
      </c>
      <c r="F252" s="84">
        <f t="shared" si="43"/>
        <v>3406.46690853878</v>
      </c>
      <c r="G252" s="84">
        <f t="shared" si="43"/>
        <v>3375.512038073517</v>
      </c>
      <c r="H252" s="84">
        <f t="shared" si="43"/>
        <v>3373.6082999194605</v>
      </c>
      <c r="I252" s="84">
        <f t="shared" si="43"/>
        <v>3384.5214734865926</v>
      </c>
    </row>
    <row r="253" spans="2:9" s="164" customFormat="1" x14ac:dyDescent="0.2"/>
    <row r="254" spans="2:9" s="164" customFormat="1" x14ac:dyDescent="0.2">
      <c r="B254" s="1" t="s">
        <v>281</v>
      </c>
      <c r="C254" s="1">
        <f>C241</f>
        <v>2014</v>
      </c>
      <c r="D254" s="1">
        <f t="shared" ref="D254:I254" si="44">D241</f>
        <v>2015</v>
      </c>
      <c r="E254" s="1">
        <f t="shared" si="44"/>
        <v>2016</v>
      </c>
      <c r="F254" s="1">
        <f t="shared" si="44"/>
        <v>2017</v>
      </c>
      <c r="G254" s="1">
        <f t="shared" si="44"/>
        <v>2018</v>
      </c>
      <c r="H254" s="1">
        <f t="shared" si="44"/>
        <v>2019</v>
      </c>
      <c r="I254" s="1">
        <f t="shared" si="44"/>
        <v>2020</v>
      </c>
    </row>
    <row r="255" spans="2:9" s="164" customFormat="1" x14ac:dyDescent="0.2">
      <c r="B255" s="4" t="s">
        <v>212</v>
      </c>
      <c r="C255" s="66">
        <f>SUM(C229,C242)</f>
        <v>0.45200000000000001</v>
      </c>
      <c r="D255" s="66">
        <f t="shared" ref="D255:I255" si="45">SUM(D229,D242)</f>
        <v>0.68899999999999995</v>
      </c>
      <c r="E255" s="66">
        <f t="shared" si="45"/>
        <v>0.59399999999999997</v>
      </c>
      <c r="F255" s="66">
        <f t="shared" si="45"/>
        <v>0.59399999999999997</v>
      </c>
      <c r="G255" s="66">
        <f t="shared" si="45"/>
        <v>0.59399999999999997</v>
      </c>
      <c r="H255" s="66">
        <f t="shared" si="45"/>
        <v>0.59399999999999997</v>
      </c>
      <c r="I255" s="66">
        <f t="shared" si="45"/>
        <v>0.59399999999999997</v>
      </c>
    </row>
    <row r="256" spans="2:9" s="164" customFormat="1" x14ac:dyDescent="0.2">
      <c r="B256" s="4" t="s">
        <v>277</v>
      </c>
      <c r="C256" s="66">
        <f t="shared" ref="C256:I256" si="46">SUM(C230,C243)</f>
        <v>42.844000000000001</v>
      </c>
      <c r="D256" s="66">
        <f t="shared" si="46"/>
        <v>45.113999999999997</v>
      </c>
      <c r="E256" s="66">
        <f t="shared" si="46"/>
        <v>43.8</v>
      </c>
      <c r="F256" s="66">
        <f t="shared" si="46"/>
        <v>42.701000000000001</v>
      </c>
      <c r="G256" s="66">
        <f t="shared" si="46"/>
        <v>42.701000000000001</v>
      </c>
      <c r="H256" s="66">
        <f t="shared" si="46"/>
        <v>42.701000000000001</v>
      </c>
      <c r="I256" s="66">
        <f t="shared" si="46"/>
        <v>42.701000000000001</v>
      </c>
    </row>
    <row r="257" spans="2:9" s="164" customFormat="1" x14ac:dyDescent="0.2">
      <c r="B257" s="4" t="s">
        <v>214</v>
      </c>
      <c r="C257" s="66">
        <f t="shared" ref="C257:I257" si="47">SUM(C231,C244)</f>
        <v>21.279489256961618</v>
      </c>
      <c r="D257" s="66">
        <f t="shared" si="47"/>
        <v>21.38500910228149</v>
      </c>
      <c r="E257" s="66">
        <f t="shared" si="47"/>
        <v>20.730611092092477</v>
      </c>
      <c r="F257" s="66">
        <f t="shared" si="47"/>
        <v>20.38660101932755</v>
      </c>
      <c r="G257" s="66">
        <f t="shared" si="47"/>
        <v>20.202007133586513</v>
      </c>
      <c r="H257" s="66">
        <f t="shared" si="47"/>
        <v>20.236845228154259</v>
      </c>
      <c r="I257" s="66">
        <f t="shared" si="47"/>
        <v>20.246716021615121</v>
      </c>
    </row>
    <row r="258" spans="2:9" s="164" customFormat="1" x14ac:dyDescent="0.2">
      <c r="B258" s="4" t="s">
        <v>215</v>
      </c>
      <c r="C258" s="66">
        <f t="shared" ref="C258:I258" si="48">SUM(C232,C245)</f>
        <v>19.701000000000001</v>
      </c>
      <c r="D258" s="66">
        <f t="shared" si="48"/>
        <v>21.606999999999999</v>
      </c>
      <c r="E258" s="66">
        <f t="shared" si="48"/>
        <v>18.260000000000002</v>
      </c>
      <c r="F258" s="66">
        <f t="shared" si="48"/>
        <v>18.14</v>
      </c>
      <c r="G258" s="66">
        <f t="shared" si="48"/>
        <v>16.088999999999999</v>
      </c>
      <c r="H258" s="66">
        <f t="shared" si="48"/>
        <v>15.923</v>
      </c>
      <c r="I258" s="66">
        <f t="shared" si="48"/>
        <v>17.14</v>
      </c>
    </row>
    <row r="259" spans="2:9" x14ac:dyDescent="0.2">
      <c r="B259" s="4" t="s">
        <v>216</v>
      </c>
      <c r="C259" s="66">
        <f t="shared" ref="C259:I259" si="49">SUM(C233,C246)</f>
        <v>3501.0267613469168</v>
      </c>
      <c r="D259" s="66">
        <f t="shared" si="49"/>
        <v>3594.5610454261928</v>
      </c>
      <c r="E259" s="66">
        <f t="shared" si="49"/>
        <v>3551.2989293791052</v>
      </c>
      <c r="F259" s="66">
        <f t="shared" si="49"/>
        <v>3522.3393813758439</v>
      </c>
      <c r="G259" s="66">
        <f t="shared" si="49"/>
        <v>3497.9856428350195</v>
      </c>
      <c r="H259" s="66">
        <f t="shared" si="49"/>
        <v>3497.8186663013166</v>
      </c>
      <c r="I259" s="66">
        <f t="shared" si="49"/>
        <v>3509.3625647368026</v>
      </c>
    </row>
    <row r="260" spans="2:9" s="164" customFormat="1" x14ac:dyDescent="0.2">
      <c r="B260" s="4" t="s">
        <v>90</v>
      </c>
      <c r="C260" s="66">
        <f t="shared" ref="C260:I260" si="50">SUM(C234,C247)</f>
        <v>59.402999999999999</v>
      </c>
      <c r="D260" s="66">
        <f t="shared" si="50"/>
        <v>61.105000000000004</v>
      </c>
      <c r="E260" s="66">
        <f t="shared" si="50"/>
        <v>57.174999999999997</v>
      </c>
      <c r="F260" s="66">
        <f t="shared" si="50"/>
        <v>56.954000000000008</v>
      </c>
      <c r="G260" s="66">
        <f t="shared" si="50"/>
        <v>56.957000000000001</v>
      </c>
      <c r="H260" s="66">
        <f t="shared" si="50"/>
        <v>56.957000000000001</v>
      </c>
      <c r="I260" s="66">
        <f t="shared" si="50"/>
        <v>56.957000000000001</v>
      </c>
    </row>
    <row r="261" spans="2:9" s="164" customFormat="1" x14ac:dyDescent="0.2">
      <c r="B261" s="4" t="s">
        <v>217</v>
      </c>
      <c r="C261" s="66">
        <f t="shared" ref="C261:I261" si="51">SUM(C235,C248)</f>
        <v>67.877132809000074</v>
      </c>
      <c r="D261" s="66">
        <f t="shared" si="51"/>
        <v>71.105857096971278</v>
      </c>
      <c r="E261" s="66">
        <f t="shared" si="51"/>
        <v>66.021827181819972</v>
      </c>
      <c r="F261" s="66">
        <f t="shared" si="51"/>
        <v>69.300976143608423</v>
      </c>
      <c r="G261" s="66">
        <f t="shared" si="51"/>
        <v>50.722238104910964</v>
      </c>
      <c r="H261" s="66">
        <f t="shared" si="51"/>
        <v>50.392538389989625</v>
      </c>
      <c r="I261" s="66">
        <f t="shared" si="51"/>
        <v>48.753542728175368</v>
      </c>
    </row>
    <row r="262" spans="2:9" s="164" customFormat="1" x14ac:dyDescent="0.2">
      <c r="B262" s="4" t="s">
        <v>218</v>
      </c>
      <c r="C262" s="66">
        <f t="shared" ref="C262:I262" si="52">SUM(C236,C249)</f>
        <v>908.58180000000004</v>
      </c>
      <c r="D262" s="66">
        <f t="shared" si="52"/>
        <v>970.76125000000002</v>
      </c>
      <c r="E262" s="66">
        <f t="shared" si="52"/>
        <v>875.51060000000007</v>
      </c>
      <c r="F262" s="66">
        <f t="shared" si="52"/>
        <v>800.82685000000015</v>
      </c>
      <c r="G262" s="66">
        <f t="shared" si="52"/>
        <v>785.26144999999997</v>
      </c>
      <c r="H262" s="66">
        <f t="shared" si="52"/>
        <v>774.49644999999987</v>
      </c>
      <c r="I262" s="66">
        <f t="shared" si="52"/>
        <v>793.34154999999987</v>
      </c>
    </row>
    <row r="263" spans="2:9" s="164" customFormat="1" x14ac:dyDescent="0.2">
      <c r="B263" s="4" t="s">
        <v>219</v>
      </c>
      <c r="C263" s="66">
        <f t="shared" ref="C263:I263" si="53">SUM(C237,C250)</f>
        <v>0.6</v>
      </c>
      <c r="D263" s="66">
        <f t="shared" si="53"/>
        <v>0.8</v>
      </c>
      <c r="E263" s="66">
        <f t="shared" si="53"/>
        <v>1.1000000000000001</v>
      </c>
      <c r="F263" s="66">
        <f t="shared" si="53"/>
        <v>0.9</v>
      </c>
      <c r="G263" s="66">
        <f t="shared" si="53"/>
        <v>0.9</v>
      </c>
      <c r="H263" s="66">
        <f t="shared" si="53"/>
        <v>0.9</v>
      </c>
      <c r="I263" s="66">
        <f t="shared" si="53"/>
        <v>0.9</v>
      </c>
    </row>
    <row r="264" spans="2:9" s="164" customFormat="1" x14ac:dyDescent="0.2">
      <c r="B264" s="4" t="s">
        <v>220</v>
      </c>
      <c r="C264" s="66">
        <f t="shared" ref="C264:I264" si="54">SUM(C238,C251)</f>
        <v>252.02800000000002</v>
      </c>
      <c r="D264" s="66">
        <f t="shared" si="54"/>
        <v>233.03100000000001</v>
      </c>
      <c r="E264" s="66">
        <f t="shared" si="54"/>
        <v>226.971</v>
      </c>
      <c r="F264" s="66">
        <f t="shared" si="54"/>
        <v>205.39299999999997</v>
      </c>
      <c r="G264" s="66">
        <f t="shared" si="54"/>
        <v>188.82500000000002</v>
      </c>
      <c r="H264" s="66">
        <f t="shared" si="54"/>
        <v>197.02699999999999</v>
      </c>
      <c r="I264" s="66">
        <f t="shared" si="54"/>
        <v>192.26100000000002</v>
      </c>
    </row>
    <row r="265" spans="2:9" s="164" customFormat="1" x14ac:dyDescent="0.2">
      <c r="B265" s="1" t="s">
        <v>87</v>
      </c>
      <c r="C265" s="63">
        <f t="shared" ref="C265:I265" si="55">SUM(C255:C264)</f>
        <v>4873.7931834128794</v>
      </c>
      <c r="D265" s="63">
        <f t="shared" si="55"/>
        <v>5020.1591616254464</v>
      </c>
      <c r="E265" s="63">
        <f t="shared" si="55"/>
        <v>4861.4619676530183</v>
      </c>
      <c r="F265" s="63">
        <f t="shared" si="55"/>
        <v>4737.5358085387797</v>
      </c>
      <c r="G265" s="63">
        <f t="shared" si="55"/>
        <v>4660.2373380735162</v>
      </c>
      <c r="H265" s="63">
        <f t="shared" si="55"/>
        <v>4657.0464999194601</v>
      </c>
      <c r="I265" s="63">
        <f t="shared" si="55"/>
        <v>4682.2573734865928</v>
      </c>
    </row>
    <row r="266" spans="2:9" s="164" customFormat="1" x14ac:dyDescent="0.2"/>
    <row r="267" spans="2:9" x14ac:dyDescent="0.2">
      <c r="B267" s="1" t="s">
        <v>282</v>
      </c>
      <c r="C267" s="1">
        <f>C254</f>
        <v>2014</v>
      </c>
      <c r="D267" s="1">
        <f t="shared" ref="D267:I267" si="56">D254</f>
        <v>2015</v>
      </c>
      <c r="E267" s="1">
        <f t="shared" si="56"/>
        <v>2016</v>
      </c>
      <c r="F267" s="1">
        <f t="shared" si="56"/>
        <v>2017</v>
      </c>
      <c r="G267" s="1">
        <f t="shared" si="56"/>
        <v>2018</v>
      </c>
      <c r="H267" s="1">
        <f t="shared" si="56"/>
        <v>2019</v>
      </c>
      <c r="I267" s="1">
        <f t="shared" si="56"/>
        <v>2020</v>
      </c>
    </row>
    <row r="268" spans="2:9" x14ac:dyDescent="0.2">
      <c r="B268" s="4" t="s">
        <v>212</v>
      </c>
      <c r="C268" s="83">
        <f t="shared" ref="C268:I278" si="57">+C229/C255*100</f>
        <v>100</v>
      </c>
      <c r="D268" s="83">
        <f t="shared" si="57"/>
        <v>100</v>
      </c>
      <c r="E268" s="83">
        <f t="shared" si="57"/>
        <v>100</v>
      </c>
      <c r="F268" s="83">
        <f t="shared" si="57"/>
        <v>100</v>
      </c>
      <c r="G268" s="83">
        <f t="shared" si="57"/>
        <v>100</v>
      </c>
      <c r="H268" s="83">
        <f t="shared" si="57"/>
        <v>100</v>
      </c>
      <c r="I268" s="83">
        <f t="shared" si="57"/>
        <v>100</v>
      </c>
    </row>
    <row r="269" spans="2:9" x14ac:dyDescent="0.2">
      <c r="B269" s="4" t="s">
        <v>277</v>
      </c>
      <c r="C269" s="83">
        <f t="shared" si="57"/>
        <v>98.963682195873389</v>
      </c>
      <c r="D269" s="83">
        <f t="shared" si="57"/>
        <v>99.485747218158451</v>
      </c>
      <c r="E269" s="83">
        <f t="shared" si="57"/>
        <v>99.470319634703202</v>
      </c>
      <c r="F269" s="83">
        <f t="shared" si="57"/>
        <v>99.456687197021154</v>
      </c>
      <c r="G269" s="83">
        <f t="shared" si="57"/>
        <v>99.456687197021154</v>
      </c>
      <c r="H269" s="83">
        <f t="shared" si="57"/>
        <v>99.456687197021154</v>
      </c>
      <c r="I269" s="83">
        <f t="shared" si="57"/>
        <v>99.456687197021154</v>
      </c>
    </row>
    <row r="270" spans="2:9" x14ac:dyDescent="0.2">
      <c r="B270" s="4" t="s">
        <v>214</v>
      </c>
      <c r="C270" s="83">
        <f t="shared" si="57"/>
        <v>22.274970713638258</v>
      </c>
      <c r="D270" s="83">
        <f t="shared" si="57"/>
        <v>24.091642773490108</v>
      </c>
      <c r="E270" s="83">
        <f t="shared" si="57"/>
        <v>23.120399001784612</v>
      </c>
      <c r="F270" s="83">
        <f t="shared" si="57"/>
        <v>23.505634879776853</v>
      </c>
      <c r="G270" s="83">
        <f t="shared" si="57"/>
        <v>23.616465277195417</v>
      </c>
      <c r="H270" s="83">
        <f t="shared" si="57"/>
        <v>23.575809105672288</v>
      </c>
      <c r="I270" s="83">
        <f t="shared" si="57"/>
        <v>23.564315293929862</v>
      </c>
    </row>
    <row r="271" spans="2:9" x14ac:dyDescent="0.2">
      <c r="B271" s="4" t="s">
        <v>215</v>
      </c>
      <c r="C271" s="83">
        <f t="shared" si="57"/>
        <v>100</v>
      </c>
      <c r="D271" s="83">
        <f t="shared" si="57"/>
        <v>100</v>
      </c>
      <c r="E271" s="83">
        <f t="shared" si="57"/>
        <v>100</v>
      </c>
      <c r="F271" s="83">
        <f t="shared" si="57"/>
        <v>100</v>
      </c>
      <c r="G271" s="83">
        <f t="shared" si="57"/>
        <v>100</v>
      </c>
      <c r="H271" s="83">
        <f t="shared" si="57"/>
        <v>100</v>
      </c>
      <c r="I271" s="83">
        <f t="shared" si="57"/>
        <v>100</v>
      </c>
    </row>
    <row r="272" spans="2:9" x14ac:dyDescent="0.2">
      <c r="B272" s="4" t="s">
        <v>216</v>
      </c>
      <c r="C272" s="83">
        <f t="shared" si="57"/>
        <v>18.181751908548875</v>
      </c>
      <c r="D272" s="83">
        <f t="shared" si="57"/>
        <v>19.436254139819852</v>
      </c>
      <c r="E272" s="83">
        <f t="shared" si="57"/>
        <v>19.187661854169374</v>
      </c>
      <c r="F272" s="83">
        <f t="shared" si="57"/>
        <v>18.861552737161134</v>
      </c>
      <c r="G272" s="83">
        <f t="shared" si="57"/>
        <v>18.905880913336588</v>
      </c>
      <c r="H272" s="83">
        <f t="shared" si="57"/>
        <v>18.869831828587483</v>
      </c>
      <c r="I272" s="83">
        <f t="shared" si="57"/>
        <v>18.799952636113023</v>
      </c>
    </row>
    <row r="273" spans="2:9" x14ac:dyDescent="0.2">
      <c r="B273" s="4" t="s">
        <v>90</v>
      </c>
      <c r="C273" s="83">
        <f t="shared" si="57"/>
        <v>41.71169806238742</v>
      </c>
      <c r="D273" s="83">
        <f t="shared" si="57"/>
        <v>44.259880533507896</v>
      </c>
      <c r="E273" s="83">
        <f t="shared" si="57"/>
        <v>40.454744206383907</v>
      </c>
      <c r="F273" s="83">
        <f t="shared" si="57"/>
        <v>40.611721740351861</v>
      </c>
      <c r="G273" s="83">
        <f t="shared" si="57"/>
        <v>40.613094088522914</v>
      </c>
      <c r="H273" s="83">
        <f t="shared" si="57"/>
        <v>40.613094088522914</v>
      </c>
      <c r="I273" s="83">
        <f t="shared" si="57"/>
        <v>40.613094088522914</v>
      </c>
    </row>
    <row r="274" spans="2:9" x14ac:dyDescent="0.2">
      <c r="B274" s="4" t="s">
        <v>217</v>
      </c>
      <c r="C274" s="83">
        <f t="shared" si="57"/>
        <v>36.706028921564041</v>
      </c>
      <c r="D274" s="83">
        <f t="shared" si="57"/>
        <v>38.251419939861087</v>
      </c>
      <c r="E274" s="83">
        <f t="shared" si="57"/>
        <v>38.51907934926524</v>
      </c>
      <c r="F274" s="83">
        <f t="shared" si="57"/>
        <v>43.195639752559075</v>
      </c>
      <c r="G274" s="83">
        <f t="shared" si="57"/>
        <v>25.087615364448908</v>
      </c>
      <c r="H274" s="83">
        <f t="shared" si="57"/>
        <v>24.755649146815223</v>
      </c>
      <c r="I274" s="83">
        <f t="shared" si="57"/>
        <v>24.921265861113188</v>
      </c>
    </row>
    <row r="275" spans="2:9" x14ac:dyDescent="0.2">
      <c r="B275" s="4" t="s">
        <v>218</v>
      </c>
      <c r="C275" s="83">
        <f t="shared" si="57"/>
        <v>50.853489471173653</v>
      </c>
      <c r="D275" s="83">
        <f t="shared" si="57"/>
        <v>58.062381455790479</v>
      </c>
      <c r="E275" s="83">
        <f t="shared" si="57"/>
        <v>54.492903912299859</v>
      </c>
      <c r="F275" s="83">
        <f t="shared" si="57"/>
        <v>52.853247865003524</v>
      </c>
      <c r="G275" s="83">
        <f t="shared" si="57"/>
        <v>52.899617063845419</v>
      </c>
      <c r="H275" s="83">
        <f t="shared" si="57"/>
        <v>52.628866149095977</v>
      </c>
      <c r="I275" s="83">
        <f t="shared" si="57"/>
        <v>53.718905810492345</v>
      </c>
    </row>
    <row r="276" spans="2:9" x14ac:dyDescent="0.2">
      <c r="B276" s="4" t="s">
        <v>219</v>
      </c>
      <c r="C276" s="83">
        <f t="shared" si="57"/>
        <v>100</v>
      </c>
      <c r="D276" s="83">
        <f t="shared" si="57"/>
        <v>100</v>
      </c>
      <c r="E276" s="83">
        <f t="shared" si="57"/>
        <v>100</v>
      </c>
      <c r="F276" s="83">
        <f t="shared" si="57"/>
        <v>100</v>
      </c>
      <c r="G276" s="83">
        <f t="shared" si="57"/>
        <v>100</v>
      </c>
      <c r="H276" s="83">
        <f t="shared" si="57"/>
        <v>100</v>
      </c>
      <c r="I276" s="83">
        <f t="shared" si="57"/>
        <v>100</v>
      </c>
    </row>
    <row r="277" spans="2:9" x14ac:dyDescent="0.2">
      <c r="B277" s="4" t="s">
        <v>220</v>
      </c>
      <c r="C277" s="83">
        <f t="shared" si="57"/>
        <v>64.817798022441949</v>
      </c>
      <c r="D277" s="83">
        <f t="shared" si="57"/>
        <v>62.434182576567054</v>
      </c>
      <c r="E277" s="83">
        <f t="shared" si="57"/>
        <v>61.929497601015115</v>
      </c>
      <c r="F277" s="83">
        <f t="shared" si="57"/>
        <v>60.117920279658996</v>
      </c>
      <c r="G277" s="83">
        <f t="shared" si="57"/>
        <v>56.835694426055873</v>
      </c>
      <c r="H277" s="83">
        <f t="shared" si="57"/>
        <v>58.638156191790983</v>
      </c>
      <c r="I277" s="83">
        <f t="shared" si="57"/>
        <v>57.550413240334755</v>
      </c>
    </row>
    <row r="278" spans="2:9" x14ac:dyDescent="0.2">
      <c r="B278" s="1" t="s">
        <v>87</v>
      </c>
      <c r="C278" s="199">
        <f t="shared" si="57"/>
        <v>28.305233687285359</v>
      </c>
      <c r="D278" s="199">
        <f t="shared" si="57"/>
        <v>30.579909333052697</v>
      </c>
      <c r="E278" s="199">
        <f t="shared" si="57"/>
        <v>29.125814197896062</v>
      </c>
      <c r="F278" s="199">
        <f t="shared" si="57"/>
        <v>28.096228794744416</v>
      </c>
      <c r="G278" s="199">
        <f t="shared" si="57"/>
        <v>27.567808392589065</v>
      </c>
      <c r="H278" s="199">
        <f t="shared" si="57"/>
        <v>27.559059159538045</v>
      </c>
      <c r="I278" s="199">
        <f t="shared" si="57"/>
        <v>27.716030890323633</v>
      </c>
    </row>
    <row r="279" spans="2:9" s="164" customFormat="1" x14ac:dyDescent="0.2"/>
    <row r="280" spans="2:9" x14ac:dyDescent="0.2">
      <c r="C280" s="4" t="s">
        <v>231</v>
      </c>
    </row>
  </sheetData>
  <sortState ref="A41:O73">
    <sortCondition ref="N41:N73"/>
  </sortState>
  <pageMargins left="0.70866141732283472" right="0.70866141732283472" top="0.74803149606299213" bottom="0.74803149606299213" header="0.31496062992125984" footer="0.31496062992125984"/>
  <pageSetup paperSize="9" scale="19" orientation="portrait" r:id="rId1"/>
  <headerFooter>
    <oddFooter>&amp;L&amp;Z&amp;F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sheetViews>
  <sheetFormatPr defaultRowHeight="15" customHeight="1" x14ac:dyDescent="0.25"/>
  <cols>
    <col min="1" max="1" width="9.140625" style="41"/>
    <col min="2" max="2" width="54.28515625" style="41" customWidth="1"/>
    <col min="3" max="9" width="9.140625" style="145"/>
    <col min="10" max="16384" width="9.140625" style="41"/>
  </cols>
  <sheetData>
    <row r="1" spans="1:9" ht="15" customHeight="1" x14ac:dyDescent="0.25">
      <c r="A1" s="87" t="s">
        <v>430</v>
      </c>
      <c r="B1" s="51"/>
    </row>
    <row r="2" spans="1:9" ht="15" customHeight="1" x14ac:dyDescent="0.25">
      <c r="A2" s="87"/>
      <c r="B2" s="51"/>
    </row>
    <row r="3" spans="1:9" ht="15" customHeight="1" x14ac:dyDescent="0.25">
      <c r="A3" s="85"/>
      <c r="B3" s="85"/>
      <c r="C3" s="42">
        <v>2014</v>
      </c>
      <c r="D3" s="42">
        <v>2015</v>
      </c>
      <c r="E3" s="42">
        <v>2016</v>
      </c>
      <c r="F3" s="42">
        <v>2017</v>
      </c>
      <c r="G3" s="42">
        <v>2018</v>
      </c>
      <c r="H3" s="42">
        <v>2019</v>
      </c>
      <c r="I3" s="42">
        <v>2020</v>
      </c>
    </row>
    <row r="4" spans="1:9" ht="15" customHeight="1" x14ac:dyDescent="0.25">
      <c r="A4" s="2">
        <v>1</v>
      </c>
      <c r="B4" s="2" t="s">
        <v>161</v>
      </c>
      <c r="C4" s="220">
        <v>26.853999999999999</v>
      </c>
      <c r="D4" s="220">
        <v>26.691000000000003</v>
      </c>
      <c r="E4" s="220">
        <v>32.945999999999998</v>
      </c>
      <c r="F4" s="220">
        <v>32.172000000000004</v>
      </c>
      <c r="G4" s="220">
        <v>29.861000000000001</v>
      </c>
      <c r="H4" s="220">
        <v>27.846</v>
      </c>
      <c r="I4" s="220">
        <v>27.846</v>
      </c>
    </row>
    <row r="5" spans="1:9" ht="15" customHeight="1" x14ac:dyDescent="0.25">
      <c r="A5" s="2">
        <v>2</v>
      </c>
      <c r="B5" s="2" t="s">
        <v>180</v>
      </c>
      <c r="C5" s="220">
        <v>26.725999999999999</v>
      </c>
      <c r="D5" s="220">
        <v>29.008000000000003</v>
      </c>
      <c r="E5" s="220">
        <v>23.549999999999997</v>
      </c>
      <c r="F5" s="220">
        <v>22.938000000000002</v>
      </c>
      <c r="G5" s="220">
        <v>21.683</v>
      </c>
      <c r="H5" s="220">
        <v>21.683</v>
      </c>
      <c r="I5" s="220">
        <v>21.683</v>
      </c>
    </row>
    <row r="6" spans="1:9" ht="15" customHeight="1" x14ac:dyDescent="0.25">
      <c r="A6" s="2">
        <v>3</v>
      </c>
      <c r="B6" s="2" t="s">
        <v>145</v>
      </c>
      <c r="C6" s="220">
        <v>152.73299999999998</v>
      </c>
      <c r="D6" s="220">
        <v>128.59100000000001</v>
      </c>
      <c r="E6" s="220">
        <v>131.357</v>
      </c>
      <c r="F6" s="220">
        <v>117.393</v>
      </c>
      <c r="G6" s="220">
        <v>105.42699999999999</v>
      </c>
      <c r="H6" s="220">
        <v>105.41300000000001</v>
      </c>
      <c r="I6" s="220">
        <v>105.55799999999999</v>
      </c>
    </row>
    <row r="7" spans="1:9" ht="15" customHeight="1" x14ac:dyDescent="0.25">
      <c r="A7" s="2">
        <v>4</v>
      </c>
      <c r="B7" s="2" t="s">
        <v>538</v>
      </c>
      <c r="C7" s="220">
        <v>93.662000000000006</v>
      </c>
      <c r="D7" s="220">
        <v>88.536999999999992</v>
      </c>
      <c r="E7" s="220">
        <v>83.311999999999998</v>
      </c>
      <c r="F7" s="220">
        <v>85.792000000000002</v>
      </c>
      <c r="G7" s="220">
        <v>65.231999999999999</v>
      </c>
      <c r="H7" s="220">
        <v>64.98299999999999</v>
      </c>
      <c r="I7" s="220">
        <v>64.338999999999999</v>
      </c>
    </row>
    <row r="8" spans="1:9" ht="15" customHeight="1" x14ac:dyDescent="0.25">
      <c r="A8" s="2">
        <v>5</v>
      </c>
      <c r="B8" s="2" t="s">
        <v>245</v>
      </c>
      <c r="C8" s="220">
        <v>95.768000000000001</v>
      </c>
      <c r="D8" s="220">
        <v>127.715</v>
      </c>
      <c r="E8" s="220">
        <v>112.17</v>
      </c>
      <c r="F8" s="220">
        <v>106.92400000000001</v>
      </c>
      <c r="G8" s="220">
        <v>103.542</v>
      </c>
      <c r="H8" s="220">
        <v>101.22999999999999</v>
      </c>
      <c r="I8" s="220">
        <v>99.932999999999993</v>
      </c>
    </row>
    <row r="9" spans="1:9" ht="15" customHeight="1" x14ac:dyDescent="0.25">
      <c r="A9" s="2">
        <v>6</v>
      </c>
      <c r="B9" s="2" t="s">
        <v>246</v>
      </c>
      <c r="C9" s="220">
        <v>404.32199999999989</v>
      </c>
      <c r="D9" s="220">
        <v>438.03599999999994</v>
      </c>
      <c r="E9" s="220">
        <v>364.06799999999998</v>
      </c>
      <c r="F9" s="220">
        <v>373.17800000000005</v>
      </c>
      <c r="G9" s="220">
        <v>378.05200000000002</v>
      </c>
      <c r="H9" s="220">
        <v>371.49599999999992</v>
      </c>
      <c r="I9" s="220">
        <v>391.78900000000004</v>
      </c>
    </row>
    <row r="10" spans="1:9" ht="15" customHeight="1" x14ac:dyDescent="0.25">
      <c r="A10" s="2">
        <v>7</v>
      </c>
      <c r="B10" s="2" t="s">
        <v>149</v>
      </c>
      <c r="C10" s="220">
        <v>229.29600000000002</v>
      </c>
      <c r="D10" s="220">
        <v>203.66599999999997</v>
      </c>
      <c r="E10" s="220">
        <v>201.54000000000002</v>
      </c>
      <c r="F10" s="220">
        <v>181.023</v>
      </c>
      <c r="G10" s="220">
        <v>166.09800000000001</v>
      </c>
      <c r="H10" s="220">
        <v>174.18299999999999</v>
      </c>
      <c r="I10" s="220">
        <v>169.29700000000003</v>
      </c>
    </row>
    <row r="11" spans="1:9" ht="15" customHeight="1" x14ac:dyDescent="0.25">
      <c r="A11" s="2">
        <v>8</v>
      </c>
      <c r="B11" s="2" t="s">
        <v>311</v>
      </c>
      <c r="C11" s="220">
        <v>167.262</v>
      </c>
      <c r="D11" s="220">
        <v>148.78200000000001</v>
      </c>
      <c r="E11" s="220">
        <v>135.72800000000001</v>
      </c>
      <c r="F11" s="220">
        <v>126.53700000000001</v>
      </c>
      <c r="G11" s="220">
        <v>126.065</v>
      </c>
      <c r="H11" s="220">
        <v>125.959</v>
      </c>
      <c r="I11" s="220">
        <v>125.884</v>
      </c>
    </row>
    <row r="12" spans="1:9" ht="15" customHeight="1" x14ac:dyDescent="0.25">
      <c r="A12" s="2">
        <v>9</v>
      </c>
      <c r="B12" s="2" t="s">
        <v>156</v>
      </c>
      <c r="C12" s="220">
        <v>30.356999999999999</v>
      </c>
      <c r="D12" s="220">
        <v>33.548000000000002</v>
      </c>
      <c r="E12" s="220">
        <v>31.823</v>
      </c>
      <c r="F12" s="220">
        <v>29.874000000000002</v>
      </c>
      <c r="G12" s="220">
        <v>30.228999999999999</v>
      </c>
      <c r="H12" s="220">
        <v>29.378999999999998</v>
      </c>
      <c r="I12" s="220">
        <v>29.286999999999999</v>
      </c>
    </row>
    <row r="13" spans="1:9" ht="15" customHeight="1" x14ac:dyDescent="0.25">
      <c r="A13" s="2">
        <v>10</v>
      </c>
      <c r="B13" s="2" t="s">
        <v>108</v>
      </c>
      <c r="C13" s="220">
        <v>20.41</v>
      </c>
      <c r="D13" s="220">
        <v>22.04</v>
      </c>
      <c r="E13" s="220">
        <v>17.114000000000001</v>
      </c>
      <c r="F13" s="220">
        <v>15.568000000000001</v>
      </c>
      <c r="G13" s="220">
        <v>15.232000000000001</v>
      </c>
      <c r="H13" s="220">
        <v>15.205</v>
      </c>
      <c r="I13" s="220">
        <v>15.205</v>
      </c>
    </row>
    <row r="14" spans="1:9" ht="15" customHeight="1" x14ac:dyDescent="0.25">
      <c r="A14" s="2">
        <v>11</v>
      </c>
      <c r="B14" s="2" t="s">
        <v>312</v>
      </c>
      <c r="C14" s="220">
        <v>89.97399999999999</v>
      </c>
      <c r="D14" s="220">
        <v>95.083999999999989</v>
      </c>
      <c r="E14" s="220">
        <v>92.587999999999994</v>
      </c>
      <c r="F14" s="220">
        <v>89.084000000000003</v>
      </c>
      <c r="G14" s="220">
        <v>86.181000000000012</v>
      </c>
      <c r="H14" s="220">
        <v>86.323999999999998</v>
      </c>
      <c r="I14" s="220">
        <v>86.454000000000008</v>
      </c>
    </row>
    <row r="15" spans="1:9" ht="30" customHeight="1" x14ac:dyDescent="0.25">
      <c r="A15" s="2">
        <v>12</v>
      </c>
      <c r="B15" s="222" t="s">
        <v>313</v>
      </c>
      <c r="C15" s="220">
        <v>2658.7079999999996</v>
      </c>
      <c r="D15" s="220">
        <v>2697.288</v>
      </c>
      <c r="E15" s="220">
        <v>2687.2909999999997</v>
      </c>
      <c r="F15" s="220">
        <v>2676.806</v>
      </c>
      <c r="G15" s="220">
        <v>2656.1769999999997</v>
      </c>
      <c r="H15" s="220">
        <v>2657.3329999999996</v>
      </c>
      <c r="I15" s="220">
        <v>2669.1380000000004</v>
      </c>
    </row>
    <row r="16" spans="1:9" ht="30" customHeight="1" x14ac:dyDescent="0.25">
      <c r="A16" s="2">
        <v>13</v>
      </c>
      <c r="B16" s="222" t="s">
        <v>316</v>
      </c>
      <c r="C16" s="220">
        <v>818.33400000000006</v>
      </c>
      <c r="D16" s="220">
        <v>920.08100000000013</v>
      </c>
      <c r="E16" s="220">
        <v>890.79699999999991</v>
      </c>
      <c r="F16" s="220">
        <v>823.30800000000011</v>
      </c>
      <c r="G16" s="220">
        <v>819.50200000000007</v>
      </c>
      <c r="H16" s="220">
        <v>819.05900000000008</v>
      </c>
      <c r="I16" s="220">
        <v>818.87900000000013</v>
      </c>
    </row>
    <row r="17" spans="1:9" ht="15" customHeight="1" x14ac:dyDescent="0.25">
      <c r="A17" s="2">
        <v>14</v>
      </c>
      <c r="B17" s="2" t="s">
        <v>90</v>
      </c>
      <c r="C17" s="220">
        <v>59.402999999999992</v>
      </c>
      <c r="D17" s="220">
        <v>61.104999999999997</v>
      </c>
      <c r="E17" s="220">
        <v>57.176000000000002</v>
      </c>
      <c r="F17" s="220">
        <v>56.954999999999998</v>
      </c>
      <c r="G17" s="220">
        <v>56.957999999999998</v>
      </c>
      <c r="H17" s="220">
        <v>56.957999999999998</v>
      </c>
      <c r="I17" s="220">
        <v>56.957999999999998</v>
      </c>
    </row>
    <row r="18" spans="1:9" s="42" customFormat="1" ht="15" customHeight="1" x14ac:dyDescent="0.25">
      <c r="B18" s="42" t="s">
        <v>210</v>
      </c>
      <c r="C18" s="223">
        <f t="shared" ref="C18:I18" si="0">SUM(C4:C17)</f>
        <v>4873.8089999999993</v>
      </c>
      <c r="D18" s="223">
        <f t="shared" si="0"/>
        <v>5020.1719999999996</v>
      </c>
      <c r="E18" s="223">
        <f t="shared" si="0"/>
        <v>4861.46</v>
      </c>
      <c r="F18" s="223">
        <f t="shared" si="0"/>
        <v>4737.5520000000006</v>
      </c>
      <c r="G18" s="223">
        <f t="shared" si="0"/>
        <v>4660.2389999999996</v>
      </c>
      <c r="H18" s="223">
        <f t="shared" si="0"/>
        <v>4657.0509999999995</v>
      </c>
      <c r="I18" s="223">
        <f t="shared" si="0"/>
        <v>4682.25</v>
      </c>
    </row>
    <row r="20" spans="1:9" ht="15" customHeight="1" x14ac:dyDescent="0.25">
      <c r="B20" s="42" t="s">
        <v>523</v>
      </c>
      <c r="C20" s="42">
        <v>2014</v>
      </c>
      <c r="D20" s="42">
        <v>2015</v>
      </c>
      <c r="E20" s="42">
        <v>2016</v>
      </c>
      <c r="F20" s="42">
        <v>2017</v>
      </c>
      <c r="G20" s="42">
        <v>2018</v>
      </c>
      <c r="H20" s="42">
        <v>2019</v>
      </c>
      <c r="I20" s="42">
        <v>2020</v>
      </c>
    </row>
    <row r="21" spans="1:9" ht="15" customHeight="1" x14ac:dyDescent="0.25">
      <c r="A21" s="2">
        <v>1</v>
      </c>
      <c r="B21" s="2" t="s">
        <v>161</v>
      </c>
      <c r="C21" s="221">
        <f>+C4/C$18*100</f>
        <v>0.55098589214308569</v>
      </c>
      <c r="D21" s="221">
        <f t="shared" ref="D21:I21" si="1">+D4/D$18*100</f>
        <v>0.53167501033829123</v>
      </c>
      <c r="E21" s="221">
        <f t="shared" si="1"/>
        <v>0.677697646386065</v>
      </c>
      <c r="F21" s="221">
        <f t="shared" si="1"/>
        <v>0.6790848944771477</v>
      </c>
      <c r="G21" s="221">
        <f t="shared" si="1"/>
        <v>0.64076112834556342</v>
      </c>
      <c r="H21" s="221">
        <f t="shared" si="1"/>
        <v>0.5979320389662901</v>
      </c>
      <c r="I21" s="221">
        <f t="shared" si="1"/>
        <v>0.59471407976934165</v>
      </c>
    </row>
    <row r="22" spans="1:9" ht="15" customHeight="1" x14ac:dyDescent="0.25">
      <c r="A22" s="2">
        <v>2</v>
      </c>
      <c r="B22" s="2" t="s">
        <v>180</v>
      </c>
      <c r="C22" s="221">
        <f t="shared" ref="C22:I22" si="2">+C5/C$18*100</f>
        <v>0.54835960949639184</v>
      </c>
      <c r="D22" s="221">
        <f t="shared" si="2"/>
        <v>0.57782880745918674</v>
      </c>
      <c r="E22" s="221">
        <f t="shared" si="2"/>
        <v>0.48442237517124481</v>
      </c>
      <c r="F22" s="221">
        <f t="shared" si="2"/>
        <v>0.48417410510744791</v>
      </c>
      <c r="G22" s="221">
        <f t="shared" si="2"/>
        <v>0.46527656628769476</v>
      </c>
      <c r="H22" s="221">
        <f t="shared" si="2"/>
        <v>0.46559507293349378</v>
      </c>
      <c r="I22" s="221">
        <f t="shared" si="2"/>
        <v>0.46308932671258479</v>
      </c>
    </row>
    <row r="23" spans="1:9" ht="15" customHeight="1" x14ac:dyDescent="0.25">
      <c r="A23" s="2">
        <v>3</v>
      </c>
      <c r="B23" s="2" t="s">
        <v>145</v>
      </c>
      <c r="C23" s="221">
        <f t="shared" ref="C23:I23" si="3">+C6/C$18*100</f>
        <v>3.1337502146678298</v>
      </c>
      <c r="D23" s="221">
        <f t="shared" si="3"/>
        <v>2.5614859411191495</v>
      </c>
      <c r="E23" s="221">
        <f t="shared" si="3"/>
        <v>2.7020072159392448</v>
      </c>
      <c r="F23" s="221">
        <f t="shared" si="3"/>
        <v>2.4779253082604686</v>
      </c>
      <c r="G23" s="221">
        <f t="shared" si="3"/>
        <v>2.2622659481627445</v>
      </c>
      <c r="H23" s="221">
        <f t="shared" si="3"/>
        <v>2.2635139705362906</v>
      </c>
      <c r="I23" s="221">
        <f t="shared" si="3"/>
        <v>2.2544289604356877</v>
      </c>
    </row>
    <row r="24" spans="1:9" ht="15" customHeight="1" x14ac:dyDescent="0.25">
      <c r="A24" s="2">
        <v>4</v>
      </c>
      <c r="B24" s="2" t="s">
        <v>538</v>
      </c>
      <c r="C24" s="221">
        <f t="shared" ref="C24:I24" si="4">+C7/C$18*100</f>
        <v>1.9217412910518243</v>
      </c>
      <c r="D24" s="221">
        <f t="shared" si="4"/>
        <v>1.7636248319778687</v>
      </c>
      <c r="E24" s="221">
        <f t="shared" si="4"/>
        <v>1.7137238607331955</v>
      </c>
      <c r="F24" s="221">
        <f t="shared" si="4"/>
        <v>1.8108930519390602</v>
      </c>
      <c r="G24" s="221">
        <f t="shared" si="4"/>
        <v>1.3997565360918185</v>
      </c>
      <c r="H24" s="221">
        <f t="shared" si="4"/>
        <v>1.3953680129335067</v>
      </c>
      <c r="I24" s="221">
        <f t="shared" si="4"/>
        <v>1.3741043301831384</v>
      </c>
    </row>
    <row r="25" spans="1:9" ht="15" customHeight="1" x14ac:dyDescent="0.25">
      <c r="A25" s="2">
        <v>5</v>
      </c>
      <c r="B25" s="2" t="s">
        <v>245</v>
      </c>
      <c r="C25" s="221">
        <f t="shared" ref="C25:I25" si="5">+C8/C$18*100</f>
        <v>1.9649518477232082</v>
      </c>
      <c r="D25" s="221">
        <f t="shared" si="5"/>
        <v>2.5440363397907486</v>
      </c>
      <c r="E25" s="221">
        <f t="shared" si="5"/>
        <v>2.3073315423761587</v>
      </c>
      <c r="F25" s="221">
        <f t="shared" si="5"/>
        <v>2.2569462034400889</v>
      </c>
      <c r="G25" s="221">
        <f t="shared" si="5"/>
        <v>2.2218173788940869</v>
      </c>
      <c r="H25" s="221">
        <f t="shared" si="5"/>
        <v>2.1736931805127324</v>
      </c>
      <c r="I25" s="221">
        <f t="shared" si="5"/>
        <v>2.1342944097389074</v>
      </c>
    </row>
    <row r="26" spans="1:9" ht="15" customHeight="1" x14ac:dyDescent="0.25">
      <c r="A26" s="2">
        <v>6</v>
      </c>
      <c r="B26" s="2" t="s">
        <v>246</v>
      </c>
      <c r="C26" s="221">
        <f t="shared" ref="C26:I26" si="6">+C9/C$18*100</f>
        <v>8.2958113459103533</v>
      </c>
      <c r="D26" s="221">
        <f t="shared" si="6"/>
        <v>8.725517771104256</v>
      </c>
      <c r="E26" s="221">
        <f t="shared" si="6"/>
        <v>7.488861370863896</v>
      </c>
      <c r="F26" s="221">
        <f t="shared" si="6"/>
        <v>7.8770217192338992</v>
      </c>
      <c r="G26" s="221">
        <f t="shared" si="6"/>
        <v>8.1122878032650263</v>
      </c>
      <c r="H26" s="221">
        <f t="shared" si="6"/>
        <v>7.977065314509117</v>
      </c>
      <c r="I26" s="221">
        <f t="shared" si="6"/>
        <v>8.3675369747450485</v>
      </c>
    </row>
    <row r="27" spans="1:9" ht="15" customHeight="1" x14ac:dyDescent="0.25">
      <c r="A27" s="2">
        <v>7</v>
      </c>
      <c r="B27" s="2" t="s">
        <v>149</v>
      </c>
      <c r="C27" s="221">
        <f t="shared" ref="C27:I27" si="7">+C10/C$18*100</f>
        <v>4.7046570762210838</v>
      </c>
      <c r="D27" s="221">
        <f t="shared" si="7"/>
        <v>4.0569526303082837</v>
      </c>
      <c r="E27" s="221">
        <f t="shared" si="7"/>
        <v>4.1456681737585006</v>
      </c>
      <c r="F27" s="221">
        <f t="shared" si="7"/>
        <v>3.8210240225331558</v>
      </c>
      <c r="G27" s="221">
        <f t="shared" si="7"/>
        <v>3.5641519673132649</v>
      </c>
      <c r="H27" s="221">
        <f t="shared" si="7"/>
        <v>3.740199538291507</v>
      </c>
      <c r="I27" s="221">
        <f t="shared" si="7"/>
        <v>3.6157189385445037</v>
      </c>
    </row>
    <row r="28" spans="1:9" ht="15" customHeight="1" x14ac:dyDescent="0.25">
      <c r="A28" s="2">
        <v>8</v>
      </c>
      <c r="B28" s="2" t="s">
        <v>311</v>
      </c>
      <c r="C28" s="221">
        <f t="shared" ref="C28:I28" si="8">+C11/C$18*100</f>
        <v>3.4318538129007523</v>
      </c>
      <c r="D28" s="221">
        <f t="shared" si="8"/>
        <v>2.9636833160298099</v>
      </c>
      <c r="E28" s="221">
        <f t="shared" si="8"/>
        <v>2.7919184771652965</v>
      </c>
      <c r="F28" s="221">
        <f t="shared" si="8"/>
        <v>2.6709363823341672</v>
      </c>
      <c r="G28" s="221">
        <f t="shared" si="8"/>
        <v>2.7051187718054805</v>
      </c>
      <c r="H28" s="221">
        <f t="shared" si="8"/>
        <v>2.7046944514887215</v>
      </c>
      <c r="I28" s="221">
        <f t="shared" si="8"/>
        <v>2.6885364942068448</v>
      </c>
    </row>
    <row r="29" spans="1:9" ht="15" customHeight="1" x14ac:dyDescent="0.25">
      <c r="A29" s="2">
        <v>9</v>
      </c>
      <c r="B29" s="2" t="s">
        <v>156</v>
      </c>
      <c r="C29" s="221">
        <f t="shared" ref="C29:I29" si="9">+C12/C$18*100</f>
        <v>0.62285986176315089</v>
      </c>
      <c r="D29" s="221">
        <f t="shared" si="9"/>
        <v>0.66826395589633192</v>
      </c>
      <c r="E29" s="221">
        <f t="shared" si="9"/>
        <v>0.65459759002439599</v>
      </c>
      <c r="F29" s="221">
        <f t="shared" si="9"/>
        <v>0.63057883058592279</v>
      </c>
      <c r="G29" s="221">
        <f t="shared" si="9"/>
        <v>0.64865771905689817</v>
      </c>
      <c r="H29" s="221">
        <f t="shared" si="9"/>
        <v>0.63084986614920047</v>
      </c>
      <c r="I29" s="221">
        <f t="shared" si="9"/>
        <v>0.62548988200117461</v>
      </c>
    </row>
    <row r="30" spans="1:9" ht="15" customHeight="1" x14ac:dyDescent="0.25">
      <c r="A30" s="2">
        <v>10</v>
      </c>
      <c r="B30" s="2" t="s">
        <v>108</v>
      </c>
      <c r="C30" s="221">
        <f t="shared" ref="C30:I30" si="10">+C13/C$18*100</f>
        <v>0.4187689751485954</v>
      </c>
      <c r="D30" s="221">
        <f t="shared" si="10"/>
        <v>0.43902878228076647</v>
      </c>
      <c r="E30" s="221">
        <f t="shared" si="10"/>
        <v>0.35203416257667453</v>
      </c>
      <c r="F30" s="221">
        <f t="shared" si="10"/>
        <v>0.3286085303127016</v>
      </c>
      <c r="G30" s="221">
        <f t="shared" si="10"/>
        <v>0.3268501894430737</v>
      </c>
      <c r="H30" s="221">
        <f t="shared" si="10"/>
        <v>0.32649416980831869</v>
      </c>
      <c r="I30" s="221">
        <f t="shared" si="10"/>
        <v>0.32473703881680815</v>
      </c>
    </row>
    <row r="31" spans="1:9" ht="15" customHeight="1" x14ac:dyDescent="0.25">
      <c r="A31" s="2">
        <v>11</v>
      </c>
      <c r="B31" s="2" t="s">
        <v>312</v>
      </c>
      <c r="C31" s="221">
        <f t="shared" ref="C31:I31" si="11">+C14/C$18*100</f>
        <v>1.8460715222939592</v>
      </c>
      <c r="D31" s="221">
        <f t="shared" si="11"/>
        <v>1.8940386903078219</v>
      </c>
      <c r="E31" s="221">
        <f t="shared" si="11"/>
        <v>1.9045307376796268</v>
      </c>
      <c r="F31" s="221">
        <f t="shared" si="11"/>
        <v>1.8803804158772295</v>
      </c>
      <c r="G31" s="221">
        <f t="shared" si="11"/>
        <v>1.8492828372107102</v>
      </c>
      <c r="H31" s="221">
        <f t="shared" si="11"/>
        <v>1.8536193827381322</v>
      </c>
      <c r="I31" s="221">
        <f t="shared" si="11"/>
        <v>1.846419990389236</v>
      </c>
    </row>
    <row r="32" spans="1:9" ht="15" customHeight="1" x14ac:dyDescent="0.25">
      <c r="A32" s="2">
        <v>12</v>
      </c>
      <c r="B32" s="222" t="s">
        <v>313</v>
      </c>
      <c r="C32" s="221">
        <f t="shared" ref="C32:I32" si="12">+C15/C$18*100</f>
        <v>54.550927211140198</v>
      </c>
      <c r="D32" s="221">
        <f t="shared" si="12"/>
        <v>53.728995739588214</v>
      </c>
      <c r="E32" s="221">
        <f t="shared" si="12"/>
        <v>55.277447515766866</v>
      </c>
      <c r="F32" s="221">
        <f t="shared" si="12"/>
        <v>56.50188114030199</v>
      </c>
      <c r="G32" s="221">
        <f t="shared" si="12"/>
        <v>56.996583222448457</v>
      </c>
      <c r="H32" s="221">
        <f t="shared" si="12"/>
        <v>57.060423001594785</v>
      </c>
      <c r="I32" s="221">
        <f t="shared" si="12"/>
        <v>57.005456778258321</v>
      </c>
    </row>
    <row r="33" spans="1:9" ht="15" customHeight="1" x14ac:dyDescent="0.25">
      <c r="A33" s="2">
        <v>13</v>
      </c>
      <c r="B33" s="222" t="s">
        <v>316</v>
      </c>
      <c r="C33" s="221">
        <f t="shared" ref="C33:I33" si="13">+C16/C$18*100</f>
        <v>16.790440495308705</v>
      </c>
      <c r="D33" s="221">
        <f t="shared" si="13"/>
        <v>18.327678812598457</v>
      </c>
      <c r="E33" s="221">
        <f t="shared" si="13"/>
        <v>18.323651742480649</v>
      </c>
      <c r="F33" s="221">
        <f t="shared" si="13"/>
        <v>17.378342232444098</v>
      </c>
      <c r="G33" s="221">
        <f t="shared" si="13"/>
        <v>17.584977937826796</v>
      </c>
      <c r="H33" s="221">
        <f t="shared" si="13"/>
        <v>17.587503336338816</v>
      </c>
      <c r="I33" s="221">
        <f t="shared" si="13"/>
        <v>17.489006353782909</v>
      </c>
    </row>
    <row r="34" spans="1:9" ht="15" customHeight="1" x14ac:dyDescent="0.25">
      <c r="A34" s="2">
        <v>14</v>
      </c>
      <c r="B34" s="2" t="s">
        <v>90</v>
      </c>
      <c r="C34" s="221">
        <f t="shared" ref="C34:I34" si="14">+C17/C$18*100</f>
        <v>1.2188208442308675</v>
      </c>
      <c r="D34" s="221">
        <f t="shared" si="14"/>
        <v>1.2171893712008275</v>
      </c>
      <c r="E34" s="221">
        <f t="shared" si="14"/>
        <v>1.1761075890781783</v>
      </c>
      <c r="F34" s="221">
        <f t="shared" si="14"/>
        <v>1.2022031631526153</v>
      </c>
      <c r="G34" s="221">
        <f t="shared" si="14"/>
        <v>1.2222119938483842</v>
      </c>
      <c r="H34" s="221">
        <f t="shared" si="14"/>
        <v>1.2230486631990933</v>
      </c>
      <c r="I34" s="221">
        <f t="shared" si="14"/>
        <v>1.2164664424155054</v>
      </c>
    </row>
    <row r="35" spans="1:9" s="42" customFormat="1" ht="15" customHeight="1" x14ac:dyDescent="0.25">
      <c r="B35" s="42" t="s">
        <v>210</v>
      </c>
      <c r="C35" s="223">
        <f t="shared" ref="C35:I35" si="15">SUM(C21:C34)</f>
        <v>99.999999999999986</v>
      </c>
      <c r="D35" s="223">
        <f t="shared" si="15"/>
        <v>100.00000000000001</v>
      </c>
      <c r="E35" s="223">
        <f t="shared" si="15"/>
        <v>100</v>
      </c>
      <c r="F35" s="223">
        <f t="shared" si="15"/>
        <v>100</v>
      </c>
      <c r="G35" s="223">
        <f t="shared" si="15"/>
        <v>100.00000000000001</v>
      </c>
      <c r="H35" s="223">
        <f t="shared" si="15"/>
        <v>100</v>
      </c>
      <c r="I35" s="223">
        <f t="shared" si="15"/>
        <v>100.00000000000001</v>
      </c>
    </row>
  </sheetData>
  <pageMargins left="0.70866141732283472" right="0.70866141732283472" top="0.74803149606299213" bottom="0.74803149606299213" header="0.31496062992125984" footer="0.31496062992125984"/>
  <pageSetup paperSize="9" scale="69" orientation="portrait"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Inhoud</vt:lpstr>
      <vt:lpstr>Toelichting</vt:lpstr>
      <vt:lpstr>Totaal</vt:lpstr>
      <vt:lpstr>R&amp;D</vt:lpstr>
      <vt:lpstr>Innovatie</vt:lpstr>
      <vt:lpstr>R&amp;D + Innovatie</vt:lpstr>
      <vt:lpstr>Fiscaal</vt:lpstr>
      <vt:lpstr>Type</vt:lpstr>
      <vt:lpstr>NABS 2007</vt:lpstr>
      <vt:lpstr>Inhoud!Print_Area</vt:lpstr>
      <vt:lpstr>'R&amp;D'!Print_Area</vt:lpstr>
    </vt:vector>
  </TitlesOfParts>
  <Company>KNAW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Alexandra Vennekens</cp:lastModifiedBy>
  <cp:lastPrinted>2016-03-07T15:30:54Z</cp:lastPrinted>
  <dcterms:created xsi:type="dcterms:W3CDTF">2013-11-20T12:43:27Z</dcterms:created>
  <dcterms:modified xsi:type="dcterms:W3CDTF">2016-04-04T07:39:28Z</dcterms:modified>
</cp:coreProperties>
</file>